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4.240.16\02参加資格審査関係\令和４・５・６年度業者登録\09　申請要領\R4・5・6　定期\R4・5・6　05官公需適格組合\"/>
    </mc:Choice>
  </mc:AlternateContent>
  <bookViews>
    <workbookView xWindow="240" yWindow="120" windowWidth="11655" windowHeight="8055"/>
  </bookViews>
  <sheets>
    <sheet name="様式４総括表" sheetId="2" r:id="rId1"/>
    <sheet name="希望１位" sheetId="3" r:id="rId2"/>
    <sheet name="希望２位" sheetId="4" r:id="rId3"/>
    <sheet name="希望３位" sheetId="5" r:id="rId4"/>
  </sheets>
  <definedNames>
    <definedName name="_xlnm.Print_Area" localSheetId="1">希望１位!$B$1:$L$25</definedName>
    <definedName name="_xlnm.Print_Area" localSheetId="2">希望２位!$B$1:$L$25</definedName>
    <definedName name="_xlnm.Print_Area" localSheetId="3">希望３位!$B$1:$L$25</definedName>
    <definedName name="_xlnm.Print_Area" localSheetId="0">様式４総括表!$A$1:$Q$36</definedName>
  </definedNames>
  <calcPr calcId="162913"/>
</workbook>
</file>

<file path=xl/calcChain.xml><?xml version="1.0" encoding="utf-8"?>
<calcChain xmlns="http://schemas.openxmlformats.org/spreadsheetml/2006/main">
  <c r="X49" i="5" l="1"/>
  <c r="X49" i="4"/>
  <c r="P28" i="2"/>
  <c r="E11" i="5"/>
  <c r="P29" i="2"/>
  <c r="E20" i="5"/>
  <c r="P30" i="2"/>
  <c r="E8" i="5"/>
  <c r="AF94" i="5" s="1"/>
  <c r="P31" i="2"/>
  <c r="E9" i="5"/>
  <c r="G9" i="5" s="1"/>
  <c r="P14" i="2"/>
  <c r="E7" i="4"/>
  <c r="U88" i="4" s="1"/>
  <c r="P15" i="2"/>
  <c r="E12" i="4"/>
  <c r="P16" i="2"/>
  <c r="E13" i="4"/>
  <c r="G13" i="4" s="1"/>
  <c r="P17" i="2"/>
  <c r="E14" i="4"/>
  <c r="P18" i="2"/>
  <c r="E15" i="4"/>
  <c r="G15" i="4"/>
  <c r="P19" i="2"/>
  <c r="E16" i="4"/>
  <c r="G16" i="4"/>
  <c r="P20" i="2"/>
  <c r="E17" i="4"/>
  <c r="G17" i="4"/>
  <c r="E11" i="4"/>
  <c r="E20" i="4"/>
  <c r="E8" i="4"/>
  <c r="E9" i="4"/>
  <c r="G9" i="4"/>
  <c r="AJ73" i="4" s="1"/>
  <c r="P7" i="2"/>
  <c r="E7" i="3"/>
  <c r="U88" i="3" s="1"/>
  <c r="P8" i="2"/>
  <c r="E12" i="3"/>
  <c r="G12" i="3" s="1"/>
  <c r="P9" i="2"/>
  <c r="E13" i="3"/>
  <c r="G13" i="3"/>
  <c r="P10" i="2"/>
  <c r="E14" i="3"/>
  <c r="G14" i="3" s="1"/>
  <c r="G18" i="3" s="1"/>
  <c r="P11" i="2"/>
  <c r="E15" i="3"/>
  <c r="G15" i="3"/>
  <c r="P12" i="2"/>
  <c r="E16" i="3"/>
  <c r="G16" i="3"/>
  <c r="P13" i="2"/>
  <c r="E17" i="3"/>
  <c r="G17" i="3"/>
  <c r="E11" i="3"/>
  <c r="J11" i="3" s="1"/>
  <c r="L11" i="3"/>
  <c r="N11" i="3" s="1"/>
  <c r="E20" i="3"/>
  <c r="G20" i="3" s="1"/>
  <c r="J20" i="3"/>
  <c r="L20" i="3" s="1"/>
  <c r="N20" i="3" s="1"/>
  <c r="E8" i="3"/>
  <c r="AF85" i="3"/>
  <c r="E9" i="3"/>
  <c r="G9" i="3"/>
  <c r="AJ80" i="3" s="1"/>
  <c r="AJ49" i="3"/>
  <c r="AJ71" i="3"/>
  <c r="H3" i="3"/>
  <c r="AF93" i="3"/>
  <c r="AF61" i="3"/>
  <c r="AF51" i="3"/>
  <c r="X49" i="3"/>
  <c r="Q17" i="3"/>
  <c r="N16" i="3"/>
  <c r="G11" i="3"/>
  <c r="F3" i="3"/>
  <c r="P27" i="2"/>
  <c r="E17" i="5"/>
  <c r="G17" i="5"/>
  <c r="P26" i="2"/>
  <c r="E16" i="5"/>
  <c r="G16" i="5"/>
  <c r="P25" i="2"/>
  <c r="E15" i="5"/>
  <c r="G15" i="5"/>
  <c r="P24" i="2"/>
  <c r="E14" i="5"/>
  <c r="G14" i="5"/>
  <c r="P23" i="2"/>
  <c r="E13" i="5"/>
  <c r="P22" i="2"/>
  <c r="E12" i="5"/>
  <c r="G12" i="5" s="1"/>
  <c r="P21" i="2"/>
  <c r="E7" i="5"/>
  <c r="H3" i="5"/>
  <c r="G20" i="5"/>
  <c r="Q17" i="5"/>
  <c r="N16" i="5"/>
  <c r="G11" i="5"/>
  <c r="F3" i="5"/>
  <c r="H3" i="4"/>
  <c r="F3" i="4"/>
  <c r="N16" i="4"/>
  <c r="Q17" i="4"/>
  <c r="G20" i="4"/>
  <c r="P36" i="2"/>
  <c r="P35" i="2"/>
  <c r="P34" i="2"/>
  <c r="P33" i="2"/>
  <c r="P32" i="2"/>
  <c r="K3" i="5"/>
  <c r="K3" i="4"/>
  <c r="J20" i="4"/>
  <c r="L20" i="4"/>
  <c r="N20" i="4" s="1"/>
  <c r="M17" i="3"/>
  <c r="N17" i="3"/>
  <c r="G8" i="3"/>
  <c r="H8" i="3" s="1"/>
  <c r="AF60" i="3"/>
  <c r="AF92" i="3"/>
  <c r="AF89" i="3"/>
  <c r="AF86" i="3"/>
  <c r="AF82" i="3"/>
  <c r="AF78" i="3"/>
  <c r="AF77" i="3"/>
  <c r="AF76" i="3"/>
  <c r="AF75" i="3"/>
  <c r="AF74" i="3"/>
  <c r="AF73" i="3"/>
  <c r="AF72" i="3"/>
  <c r="AF71" i="3"/>
  <c r="AF68" i="3"/>
  <c r="AF62" i="3"/>
  <c r="AF70" i="3"/>
  <c r="AF58" i="3"/>
  <c r="AF91" i="3"/>
  <c r="AF87" i="3"/>
  <c r="AF83" i="3"/>
  <c r="AF79" i="3"/>
  <c r="AF63" i="3"/>
  <c r="AF59" i="3"/>
  <c r="AF55" i="3"/>
  <c r="G11" i="4"/>
  <c r="G7" i="4"/>
  <c r="AF53" i="3"/>
  <c r="AF56" i="3"/>
  <c r="AF66" i="3"/>
  <c r="AF69" i="3"/>
  <c r="AF80" i="3"/>
  <c r="AF88" i="3"/>
  <c r="AF94" i="3"/>
  <c r="AJ58" i="3"/>
  <c r="AJ67" i="3"/>
  <c r="AJ75" i="3"/>
  <c r="AJ83" i="3"/>
  <c r="AF49" i="3"/>
  <c r="J20" i="5"/>
  <c r="L20" i="5"/>
  <c r="N20" i="5"/>
  <c r="G12" i="4"/>
  <c r="AF52" i="3"/>
  <c r="AF57" i="3"/>
  <c r="AF67" i="3"/>
  <c r="AF84" i="3"/>
  <c r="AF90" i="3"/>
  <c r="AJ52" i="3"/>
  <c r="AJ82" i="3"/>
  <c r="AJ78" i="3"/>
  <c r="AJ74" i="3"/>
  <c r="AJ70" i="3"/>
  <c r="AJ66" i="3"/>
  <c r="AJ62" i="3"/>
  <c r="AJ57" i="3"/>
  <c r="AJ51" i="3"/>
  <c r="AJ50" i="3"/>
  <c r="AJ81" i="3"/>
  <c r="AJ77" i="3"/>
  <c r="AJ73" i="3"/>
  <c r="AJ69" i="3"/>
  <c r="AJ65" i="3"/>
  <c r="AJ61" i="3"/>
  <c r="AJ56" i="3"/>
  <c r="AF65" i="3"/>
  <c r="G8" i="5"/>
  <c r="J11" i="5"/>
  <c r="L11" i="5"/>
  <c r="N11" i="5" s="1"/>
  <c r="G7" i="5"/>
  <c r="J11" i="4"/>
  <c r="L11" i="4" s="1"/>
  <c r="N11" i="4" s="1"/>
  <c r="M17" i="4"/>
  <c r="N17" i="4"/>
  <c r="G14" i="4"/>
  <c r="G18" i="4"/>
  <c r="G7" i="3"/>
  <c r="M17" i="5"/>
  <c r="N17" i="5"/>
  <c r="G13" i="5"/>
  <c r="G18" i="5" s="1"/>
  <c r="AF81" i="3"/>
  <c r="AJ53" i="3"/>
  <c r="AJ64" i="3"/>
  <c r="AJ76" i="3"/>
  <c r="AJ59" i="3"/>
  <c r="AF64" i="3"/>
  <c r="AJ54" i="3"/>
  <c r="AJ68" i="3"/>
  <c r="AJ79" i="3"/>
  <c r="AJ55" i="3"/>
  <c r="AF50" i="3"/>
  <c r="AF54" i="3"/>
  <c r="AJ63" i="3"/>
  <c r="AJ72" i="3"/>
  <c r="AJ84" i="3"/>
  <c r="AU72" i="5" l="1"/>
  <c r="AU66" i="5"/>
  <c r="AU60" i="5"/>
  <c r="AU54" i="5"/>
  <c r="AU88" i="5"/>
  <c r="AU86" i="5"/>
  <c r="AU84" i="5"/>
  <c r="AU81" i="5"/>
  <c r="AU78" i="5"/>
  <c r="AU73" i="5"/>
  <c r="AU67" i="5"/>
  <c r="AU61" i="5"/>
  <c r="AU55" i="5"/>
  <c r="AU49" i="5"/>
  <c r="AU74" i="5"/>
  <c r="AU68" i="5"/>
  <c r="AU62" i="5"/>
  <c r="AU56" i="5"/>
  <c r="AU50" i="5"/>
  <c r="AU82" i="5"/>
  <c r="AU79" i="5"/>
  <c r="AU75" i="5"/>
  <c r="AU69" i="5"/>
  <c r="AU63" i="5"/>
  <c r="AU57" i="5"/>
  <c r="AU51" i="5"/>
  <c r="AU87" i="5"/>
  <c r="AU85" i="5"/>
  <c r="AU76" i="5"/>
  <c r="AU70" i="5"/>
  <c r="AU64" i="5"/>
  <c r="AU58" i="5"/>
  <c r="AU52" i="5"/>
  <c r="AU89" i="5"/>
  <c r="AU83" i="5"/>
  <c r="AU80" i="5"/>
  <c r="AU77" i="5"/>
  <c r="AU71" i="5"/>
  <c r="AU65" i="5"/>
  <c r="AU59" i="5"/>
  <c r="AU53" i="5"/>
  <c r="AQ61" i="3"/>
  <c r="AQ69" i="3"/>
  <c r="AQ71" i="3"/>
  <c r="AQ49" i="3"/>
  <c r="AQ75" i="3"/>
  <c r="AQ60" i="3"/>
  <c r="AQ59" i="3"/>
  <c r="AQ50" i="3"/>
  <c r="AQ63" i="3"/>
  <c r="AQ58" i="3"/>
  <c r="AQ77" i="3"/>
  <c r="AQ62" i="3"/>
  <c r="AQ73" i="3"/>
  <c r="AQ67" i="3"/>
  <c r="AQ51" i="3"/>
  <c r="AQ68" i="3"/>
  <c r="H18" i="3"/>
  <c r="AQ57" i="3"/>
  <c r="AQ54" i="3"/>
  <c r="AQ70" i="3"/>
  <c r="AQ64" i="3"/>
  <c r="AQ56" i="3"/>
  <c r="AQ53" i="3"/>
  <c r="AQ65" i="3"/>
  <c r="AQ74" i="3"/>
  <c r="AQ52" i="3"/>
  <c r="AQ72" i="3"/>
  <c r="AQ55" i="3"/>
  <c r="AQ66" i="3"/>
  <c r="AQ76" i="3"/>
  <c r="AQ77" i="5"/>
  <c r="AQ71" i="5"/>
  <c r="AQ65" i="5"/>
  <c r="AQ59" i="5"/>
  <c r="AQ53" i="5"/>
  <c r="AQ72" i="5"/>
  <c r="AQ66" i="5"/>
  <c r="AQ60" i="5"/>
  <c r="AQ54" i="5"/>
  <c r="AQ73" i="5"/>
  <c r="AQ67" i="5"/>
  <c r="AQ61" i="5"/>
  <c r="AQ55" i="5"/>
  <c r="AQ49" i="5"/>
  <c r="AQ74" i="5"/>
  <c r="AQ68" i="5"/>
  <c r="AQ62" i="5"/>
  <c r="AQ56" i="5"/>
  <c r="AQ50" i="5"/>
  <c r="AQ75" i="5"/>
  <c r="AQ69" i="5"/>
  <c r="AQ63" i="5"/>
  <c r="AQ57" i="5"/>
  <c r="AQ51" i="5"/>
  <c r="AQ76" i="5"/>
  <c r="AQ70" i="5"/>
  <c r="AQ64" i="5"/>
  <c r="AQ58" i="5"/>
  <c r="AQ52" i="5"/>
  <c r="H18" i="5"/>
  <c r="AQ74" i="4"/>
  <c r="AQ68" i="4"/>
  <c r="AQ62" i="4"/>
  <c r="AQ56" i="4"/>
  <c r="AQ50" i="4"/>
  <c r="AQ75" i="4"/>
  <c r="AQ69" i="4"/>
  <c r="AQ63" i="4"/>
  <c r="AQ57" i="4"/>
  <c r="AQ51" i="4"/>
  <c r="AQ76" i="4"/>
  <c r="AQ70" i="4"/>
  <c r="AQ64" i="4"/>
  <c r="AQ58" i="4"/>
  <c r="AQ52" i="4"/>
  <c r="AQ77" i="4"/>
  <c r="AQ71" i="4"/>
  <c r="AQ65" i="4"/>
  <c r="AQ59" i="4"/>
  <c r="AQ53" i="4"/>
  <c r="AQ72" i="4"/>
  <c r="AQ66" i="4"/>
  <c r="AQ60" i="4"/>
  <c r="AQ54" i="4"/>
  <c r="AQ73" i="4"/>
  <c r="AQ67" i="4"/>
  <c r="AQ61" i="4"/>
  <c r="AQ55" i="4"/>
  <c r="AQ49" i="4"/>
  <c r="H18" i="4" s="1"/>
  <c r="AU86" i="3"/>
  <c r="AU80" i="3"/>
  <c r="AU73" i="3"/>
  <c r="AU68" i="3"/>
  <c r="AU62" i="3"/>
  <c r="AU56" i="3"/>
  <c r="AU50" i="3"/>
  <c r="AU85" i="3"/>
  <c r="AU79" i="3"/>
  <c r="AU74" i="3"/>
  <c r="AU67" i="3"/>
  <c r="AU61" i="3"/>
  <c r="AU55" i="3"/>
  <c r="AU49" i="3"/>
  <c r="AU84" i="3"/>
  <c r="AU78" i="3"/>
  <c r="AU72" i="3"/>
  <c r="AU66" i="3"/>
  <c r="AU60" i="3"/>
  <c r="AU54" i="3"/>
  <c r="AU89" i="3"/>
  <c r="AU83" i="3"/>
  <c r="AU77" i="3"/>
  <c r="AU71" i="3"/>
  <c r="AU65" i="3"/>
  <c r="AU59" i="3"/>
  <c r="AU53" i="3"/>
  <c r="AU88" i="3"/>
  <c r="AU82" i="3"/>
  <c r="AU76" i="3"/>
  <c r="AU70" i="3"/>
  <c r="AU64" i="3"/>
  <c r="AU58" i="3"/>
  <c r="AU52" i="3"/>
  <c r="AU87" i="3"/>
  <c r="AU81" i="3"/>
  <c r="AU75" i="3"/>
  <c r="AU69" i="3"/>
  <c r="AU63" i="3"/>
  <c r="AU57" i="3"/>
  <c r="AU51" i="3"/>
  <c r="AF91" i="4"/>
  <c r="AF84" i="4"/>
  <c r="AF81" i="4"/>
  <c r="AF78" i="4"/>
  <c r="AF72" i="4"/>
  <c r="AF66" i="4"/>
  <c r="AF60" i="4"/>
  <c r="AF54" i="4"/>
  <c r="AF90" i="4"/>
  <c r="AF73" i="4"/>
  <c r="AF67" i="4"/>
  <c r="AF61" i="4"/>
  <c r="AF55" i="4"/>
  <c r="AF87" i="4"/>
  <c r="AF85" i="4"/>
  <c r="AF82" i="4"/>
  <c r="AF79" i="4"/>
  <c r="AF74" i="4"/>
  <c r="AF68" i="4"/>
  <c r="AF62" i="4"/>
  <c r="AF56" i="4"/>
  <c r="AF50" i="4"/>
  <c r="AF94" i="4"/>
  <c r="AF89" i="4"/>
  <c r="AF75" i="4"/>
  <c r="AF69" i="4"/>
  <c r="AF63" i="4"/>
  <c r="AF57" i="4"/>
  <c r="AF51" i="4"/>
  <c r="AF93" i="4"/>
  <c r="AF83" i="4"/>
  <c r="AF80" i="4"/>
  <c r="AF76" i="4"/>
  <c r="AF70" i="4"/>
  <c r="AF64" i="4"/>
  <c r="AF58" i="4"/>
  <c r="AF52" i="4"/>
  <c r="AF92" i="4"/>
  <c r="AF88" i="4"/>
  <c r="AF86" i="4"/>
  <c r="AF77" i="4"/>
  <c r="AF71" i="4"/>
  <c r="AF65" i="4"/>
  <c r="AF59" i="4"/>
  <c r="AF53" i="4"/>
  <c r="AF49" i="4"/>
  <c r="G8" i="4"/>
  <c r="H8" i="4" s="1"/>
  <c r="H10" i="4" s="1"/>
  <c r="J8" i="4" s="1"/>
  <c r="L8" i="4" s="1"/>
  <c r="N10" i="4" s="1"/>
  <c r="U87" i="5"/>
  <c r="U85" i="5"/>
  <c r="U82" i="5"/>
  <c r="U79" i="5"/>
  <c r="U74" i="5"/>
  <c r="U68" i="5"/>
  <c r="U62" i="5"/>
  <c r="U56" i="5"/>
  <c r="U50" i="5"/>
  <c r="U75" i="5"/>
  <c r="U69" i="5"/>
  <c r="U63" i="5"/>
  <c r="U57" i="5"/>
  <c r="U51" i="5"/>
  <c r="U49" i="5"/>
  <c r="U83" i="5"/>
  <c r="U80" i="5"/>
  <c r="U76" i="5"/>
  <c r="U70" i="5"/>
  <c r="U64" i="5"/>
  <c r="U58" i="5"/>
  <c r="U52" i="5"/>
  <c r="U48" i="5"/>
  <c r="H7" i="5" s="1"/>
  <c r="J7" i="5" s="1"/>
  <c r="L7" i="5" s="1"/>
  <c r="U88" i="5"/>
  <c r="U86" i="5"/>
  <c r="U77" i="5"/>
  <c r="U71" i="5"/>
  <c r="U65" i="5"/>
  <c r="U59" i="5"/>
  <c r="U53" i="5"/>
  <c r="U84" i="5"/>
  <c r="U81" i="5"/>
  <c r="U78" i="5"/>
  <c r="U72" i="5"/>
  <c r="U66" i="5"/>
  <c r="U60" i="5"/>
  <c r="U54" i="5"/>
  <c r="U73" i="5"/>
  <c r="U67" i="5"/>
  <c r="U61" i="5"/>
  <c r="U55" i="5"/>
  <c r="AJ83" i="5"/>
  <c r="AJ80" i="5"/>
  <c r="AJ76" i="5"/>
  <c r="AJ70" i="5"/>
  <c r="AJ64" i="5"/>
  <c r="AJ58" i="5"/>
  <c r="AJ52" i="5"/>
  <c r="AJ77" i="5"/>
  <c r="AJ71" i="5"/>
  <c r="AJ65" i="5"/>
  <c r="AJ59" i="5"/>
  <c r="AJ53" i="5"/>
  <c r="AJ84" i="5"/>
  <c r="AJ81" i="5"/>
  <c r="AJ78" i="5"/>
  <c r="AJ72" i="5"/>
  <c r="AJ66" i="5"/>
  <c r="AJ60" i="5"/>
  <c r="AJ54" i="5"/>
  <c r="AJ73" i="5"/>
  <c r="AJ67" i="5"/>
  <c r="AJ61" i="5"/>
  <c r="AJ55" i="5"/>
  <c r="AJ49" i="5"/>
  <c r="AJ82" i="5"/>
  <c r="AJ79" i="5"/>
  <c r="AJ74" i="5"/>
  <c r="AJ68" i="5"/>
  <c r="AJ62" i="5"/>
  <c r="AJ56" i="5"/>
  <c r="AJ50" i="5"/>
  <c r="H9" i="5"/>
  <c r="AJ75" i="5"/>
  <c r="AJ69" i="5"/>
  <c r="AJ63" i="5"/>
  <c r="AJ57" i="5"/>
  <c r="AJ51" i="5"/>
  <c r="AU82" i="4"/>
  <c r="AU79" i="4"/>
  <c r="AU75" i="4"/>
  <c r="AU69" i="4"/>
  <c r="AU63" i="4"/>
  <c r="AU57" i="4"/>
  <c r="AU51" i="4"/>
  <c r="AU87" i="4"/>
  <c r="AU85" i="4"/>
  <c r="AU76" i="4"/>
  <c r="AU70" i="4"/>
  <c r="AU64" i="4"/>
  <c r="AU58" i="4"/>
  <c r="AU52" i="4"/>
  <c r="AU89" i="4"/>
  <c r="AU83" i="4"/>
  <c r="AU80" i="4"/>
  <c r="AU77" i="4"/>
  <c r="AU71" i="4"/>
  <c r="AU65" i="4"/>
  <c r="AU59" i="4"/>
  <c r="AU53" i="4"/>
  <c r="AU72" i="4"/>
  <c r="AU66" i="4"/>
  <c r="AU60" i="4"/>
  <c r="AU54" i="4"/>
  <c r="AU88" i="4"/>
  <c r="AU86" i="4"/>
  <c r="AU84" i="4"/>
  <c r="AU81" i="4"/>
  <c r="AU78" i="4"/>
  <c r="AU73" i="4"/>
  <c r="AU67" i="4"/>
  <c r="AU61" i="4"/>
  <c r="AU55" i="4"/>
  <c r="AU49" i="4"/>
  <c r="H12" i="4" s="1"/>
  <c r="AU74" i="4"/>
  <c r="AU68" i="4"/>
  <c r="AU62" i="4"/>
  <c r="AU56" i="4"/>
  <c r="AU50" i="4"/>
  <c r="H12" i="5"/>
  <c r="H9" i="3"/>
  <c r="H10" i="3" s="1"/>
  <c r="J8" i="3" s="1"/>
  <c r="L8" i="3" s="1"/>
  <c r="N10" i="3" s="1"/>
  <c r="U53" i="3"/>
  <c r="U59" i="3"/>
  <c r="U65" i="3"/>
  <c r="U71" i="3"/>
  <c r="U77" i="3"/>
  <c r="U83" i="3"/>
  <c r="U52" i="4"/>
  <c r="AJ54" i="4"/>
  <c r="U58" i="4"/>
  <c r="AJ60" i="4"/>
  <c r="U64" i="4"/>
  <c r="AJ66" i="4"/>
  <c r="U70" i="4"/>
  <c r="AJ72" i="4"/>
  <c r="U76" i="4"/>
  <c r="AJ78" i="4"/>
  <c r="U80" i="4"/>
  <c r="AJ81" i="4"/>
  <c r="U83" i="4"/>
  <c r="AJ84" i="4"/>
  <c r="AF49" i="5"/>
  <c r="H8" i="5" s="1"/>
  <c r="AF50" i="5"/>
  <c r="AF56" i="5"/>
  <c r="AF62" i="5"/>
  <c r="AF68" i="5"/>
  <c r="AF74" i="5"/>
  <c r="AF79" i="5"/>
  <c r="AF82" i="5"/>
  <c r="AF85" i="5"/>
  <c r="AF87" i="5"/>
  <c r="U48" i="3"/>
  <c r="H7" i="3" s="1"/>
  <c r="J7" i="3" s="1"/>
  <c r="L7" i="3" s="1"/>
  <c r="U54" i="3"/>
  <c r="U60" i="3"/>
  <c r="U66" i="3"/>
  <c r="U72" i="3"/>
  <c r="U78" i="3"/>
  <c r="U84" i="3"/>
  <c r="AJ49" i="4"/>
  <c r="H9" i="4" s="1"/>
  <c r="U51" i="4"/>
  <c r="AJ53" i="4"/>
  <c r="U57" i="4"/>
  <c r="AJ59" i="4"/>
  <c r="U63" i="4"/>
  <c r="AJ65" i="4"/>
  <c r="U69" i="4"/>
  <c r="AJ71" i="4"/>
  <c r="U75" i="4"/>
  <c r="AJ77" i="4"/>
  <c r="AF55" i="5"/>
  <c r="AF61" i="5"/>
  <c r="AF67" i="5"/>
  <c r="AF73" i="5"/>
  <c r="AF90" i="5"/>
  <c r="U49" i="3"/>
  <c r="U55" i="3"/>
  <c r="U61" i="3"/>
  <c r="U67" i="3"/>
  <c r="U73" i="3"/>
  <c r="U79" i="3"/>
  <c r="U85" i="3"/>
  <c r="U50" i="4"/>
  <c r="AJ52" i="4"/>
  <c r="U56" i="4"/>
  <c r="AJ58" i="4"/>
  <c r="U62" i="4"/>
  <c r="AJ64" i="4"/>
  <c r="U68" i="4"/>
  <c r="AJ70" i="4"/>
  <c r="U74" i="4"/>
  <c r="AJ76" i="4"/>
  <c r="U79" i="4"/>
  <c r="AJ80" i="4"/>
  <c r="U82" i="4"/>
  <c r="AJ83" i="4"/>
  <c r="U85" i="4"/>
  <c r="U87" i="4"/>
  <c r="AF54" i="5"/>
  <c r="AF60" i="5"/>
  <c r="AF66" i="5"/>
  <c r="AF72" i="5"/>
  <c r="AF78" i="5"/>
  <c r="AF81" i="5"/>
  <c r="AF84" i="5"/>
  <c r="AF91" i="5"/>
  <c r="AJ60" i="3"/>
  <c r="U50" i="3"/>
  <c r="U56" i="3"/>
  <c r="U62" i="3"/>
  <c r="U68" i="3"/>
  <c r="U74" i="3"/>
  <c r="U80" i="3"/>
  <c r="U86" i="3"/>
  <c r="H12" i="3"/>
  <c r="U48" i="4"/>
  <c r="H7" i="4" s="1"/>
  <c r="J7" i="4" s="1"/>
  <c r="L7" i="4" s="1"/>
  <c r="AJ51" i="4"/>
  <c r="U55" i="4"/>
  <c r="AJ57" i="4"/>
  <c r="U61" i="4"/>
  <c r="AJ63" i="4"/>
  <c r="U67" i="4"/>
  <c r="AJ69" i="4"/>
  <c r="U73" i="4"/>
  <c r="AJ75" i="4"/>
  <c r="AF53" i="5"/>
  <c r="AF59" i="5"/>
  <c r="AF65" i="5"/>
  <c r="AF71" i="5"/>
  <c r="AF77" i="5"/>
  <c r="AF86" i="5"/>
  <c r="AF88" i="5"/>
  <c r="AF92" i="5"/>
  <c r="U51" i="3"/>
  <c r="U57" i="3"/>
  <c r="U63" i="3"/>
  <c r="U69" i="3"/>
  <c r="U75" i="3"/>
  <c r="U81" i="3"/>
  <c r="U87" i="3"/>
  <c r="U49" i="4"/>
  <c r="AJ50" i="4"/>
  <c r="U54" i="4"/>
  <c r="AJ56" i="4"/>
  <c r="U60" i="4"/>
  <c r="AJ62" i="4"/>
  <c r="U66" i="4"/>
  <c r="AJ68" i="4"/>
  <c r="U72" i="4"/>
  <c r="AJ74" i="4"/>
  <c r="U78" i="4"/>
  <c r="AJ79" i="4"/>
  <c r="U81" i="4"/>
  <c r="AJ82" i="4"/>
  <c r="U84" i="4"/>
  <c r="AF52" i="5"/>
  <c r="AF58" i="5"/>
  <c r="AF64" i="5"/>
  <c r="AF70" i="5"/>
  <c r="AF76" i="5"/>
  <c r="AF80" i="5"/>
  <c r="AF83" i="5"/>
  <c r="AF93" i="5"/>
  <c r="U52" i="3"/>
  <c r="U58" i="3"/>
  <c r="U64" i="3"/>
  <c r="U70" i="3"/>
  <c r="U76" i="3"/>
  <c r="U82" i="3"/>
  <c r="U53" i="4"/>
  <c r="AJ55" i="4"/>
  <c r="U59" i="4"/>
  <c r="AJ61" i="4"/>
  <c r="U65" i="4"/>
  <c r="AJ67" i="4"/>
  <c r="U71" i="4"/>
  <c r="U77" i="4"/>
  <c r="U86" i="4"/>
  <c r="AF51" i="5"/>
  <c r="AF57" i="5"/>
  <c r="AF63" i="5"/>
  <c r="AF69" i="5"/>
  <c r="AF75" i="5"/>
  <c r="AF89" i="5"/>
  <c r="N7" i="3" l="1"/>
  <c r="N23" i="3" s="1"/>
  <c r="H19" i="4"/>
  <c r="J12" i="4" s="1"/>
  <c r="L12" i="4" s="1"/>
  <c r="L24" i="4"/>
  <c r="N7" i="4"/>
  <c r="N23" i="4" s="1"/>
  <c r="K21" i="4"/>
  <c r="N7" i="5"/>
  <c r="H19" i="3"/>
  <c r="J12" i="3" s="1"/>
  <c r="L12" i="3" s="1"/>
  <c r="K21" i="3" s="1"/>
  <c r="H10" i="5"/>
  <c r="J8" i="5" s="1"/>
  <c r="L8" i="5" s="1"/>
  <c r="N10" i="5" s="1"/>
  <c r="H19" i="5"/>
  <c r="J12" i="5" s="1"/>
  <c r="L12" i="5" s="1"/>
  <c r="L24" i="5" s="1"/>
  <c r="N23" i="5" l="1"/>
  <c r="L24" i="3"/>
  <c r="K21" i="5"/>
</calcChain>
</file>

<file path=xl/comments1.xml><?xml version="1.0" encoding="utf-8"?>
<comments xmlns="http://schemas.openxmlformats.org/spreadsheetml/2006/main">
  <authors>
    <author>FINE_User</author>
  </authors>
  <commentList>
    <comment ref="P4" authorId="0" shapeId="0">
      <text>
        <r>
          <rPr>
            <sz val="12"/>
            <color indexed="81"/>
            <rFont val="MS P ゴシック"/>
            <family val="3"/>
            <charset val="128"/>
          </rPr>
          <t>インターネット申請完了後に出力できる「申請区分台帳」に記載されています。
（新規登録の方は空欄）</t>
        </r>
      </text>
    </comment>
  </commentList>
</comments>
</file>

<file path=xl/sharedStrings.xml><?xml version="1.0" encoding="utf-8"?>
<sst xmlns="http://schemas.openxmlformats.org/spreadsheetml/2006/main" count="469" uniqueCount="105">
  <si>
    <t>組合名</t>
    <rPh sb="0" eb="3">
      <t>クミアイメイ</t>
    </rPh>
    <phoneticPr fontId="3"/>
  </si>
  <si>
    <t>入札参加希望業種</t>
    <rPh sb="0" eb="2">
      <t>ニュウサツ</t>
    </rPh>
    <rPh sb="2" eb="4">
      <t>サンカ</t>
    </rPh>
    <rPh sb="4" eb="6">
      <t>キボウ</t>
    </rPh>
    <rPh sb="6" eb="8">
      <t>ギョウシュ</t>
    </rPh>
    <phoneticPr fontId="3"/>
  </si>
  <si>
    <t>第１位</t>
    <rPh sb="0" eb="1">
      <t>ダイ</t>
    </rPh>
    <rPh sb="2" eb="3">
      <t>イ</t>
    </rPh>
    <phoneticPr fontId="3"/>
  </si>
  <si>
    <t>第２位</t>
    <rPh sb="0" eb="1">
      <t>ダイ</t>
    </rPh>
    <rPh sb="2" eb="3">
      <t>イ</t>
    </rPh>
    <phoneticPr fontId="3"/>
  </si>
  <si>
    <t>第３位</t>
    <rPh sb="0" eb="1">
      <t>ダイ</t>
    </rPh>
    <rPh sb="2" eb="3">
      <t>イ</t>
    </rPh>
    <phoneticPr fontId="3"/>
  </si>
  <si>
    <t>組合の名称</t>
    <rPh sb="0" eb="2">
      <t>クミアイ</t>
    </rPh>
    <rPh sb="3" eb="5">
      <t>メイショウ</t>
    </rPh>
    <phoneticPr fontId="3"/>
  </si>
  <si>
    <t>項目</t>
    <rPh sb="0" eb="2">
      <t>コウモク</t>
    </rPh>
    <phoneticPr fontId="3"/>
  </si>
  <si>
    <t>組合及び審査対象者</t>
    <rPh sb="0" eb="2">
      <t>クミアイ</t>
    </rPh>
    <rPh sb="2" eb="3">
      <t>オヨ</t>
    </rPh>
    <rPh sb="4" eb="6">
      <t>シンサ</t>
    </rPh>
    <rPh sb="6" eb="9">
      <t>タイショウシャ</t>
    </rPh>
    <phoneticPr fontId="3"/>
  </si>
  <si>
    <t>合計</t>
    <rPh sb="0" eb="2">
      <t>ゴウケイ</t>
    </rPh>
    <phoneticPr fontId="3"/>
  </si>
  <si>
    <t>その他</t>
    <rPh sb="2" eb="3">
      <t>タ</t>
    </rPh>
    <phoneticPr fontId="3"/>
  </si>
  <si>
    <t>２　級</t>
    <rPh sb="2" eb="3">
      <t>キュウ</t>
    </rPh>
    <phoneticPr fontId="3"/>
  </si>
  <si>
    <t>千円</t>
    <rPh sb="0" eb="2">
      <t>センエン</t>
    </rPh>
    <phoneticPr fontId="3"/>
  </si>
  <si>
    <t>人</t>
    <rPh sb="0" eb="1">
      <t>ニン</t>
    </rPh>
    <phoneticPr fontId="3"/>
  </si>
  <si>
    <t>組　　　合</t>
    <rPh sb="0" eb="1">
      <t>クミ</t>
    </rPh>
    <rPh sb="4" eb="5">
      <t>ゴウ</t>
    </rPh>
    <phoneticPr fontId="3"/>
  </si>
  <si>
    <t>官公需適格組合特例措置を希望する申請区分業種の名称を右欄に記入してください。</t>
    <rPh sb="0" eb="3">
      <t>カンコウジュ</t>
    </rPh>
    <rPh sb="3" eb="5">
      <t>テキカク</t>
    </rPh>
    <rPh sb="5" eb="7">
      <t>クミアイ</t>
    </rPh>
    <rPh sb="7" eb="9">
      <t>トクレイ</t>
    </rPh>
    <rPh sb="9" eb="11">
      <t>ソチ</t>
    </rPh>
    <rPh sb="12" eb="14">
      <t>キボウ</t>
    </rPh>
    <rPh sb="16" eb="18">
      <t>シンセイ</t>
    </rPh>
    <rPh sb="18" eb="20">
      <t>クブン</t>
    </rPh>
    <rPh sb="20" eb="22">
      <t>ギョウシュ</t>
    </rPh>
    <rPh sb="23" eb="25">
      <t>メイショウ</t>
    </rPh>
    <rPh sb="26" eb="27">
      <t>ミギ</t>
    </rPh>
    <rPh sb="27" eb="28">
      <t>ラン</t>
    </rPh>
    <rPh sb="29" eb="31">
      <t>キニュウ</t>
    </rPh>
    <phoneticPr fontId="3"/>
  </si>
  <si>
    <t>入札参加希望業種
第　１　位</t>
    <rPh sb="0" eb="2">
      <t>ニュウサツ</t>
    </rPh>
    <rPh sb="2" eb="4">
      <t>サンカ</t>
    </rPh>
    <rPh sb="4" eb="6">
      <t>キボウ</t>
    </rPh>
    <rPh sb="6" eb="8">
      <t>ギョウシュ</t>
    </rPh>
    <rPh sb="10" eb="11">
      <t>ダイ</t>
    </rPh>
    <rPh sb="14" eb="15">
      <t>イ</t>
    </rPh>
    <phoneticPr fontId="3"/>
  </si>
  <si>
    <t>入札参加希望業種
第　２　位</t>
    <rPh sb="0" eb="2">
      <t>ニュウサツ</t>
    </rPh>
    <rPh sb="2" eb="4">
      <t>サンカ</t>
    </rPh>
    <rPh sb="4" eb="6">
      <t>キボウ</t>
    </rPh>
    <rPh sb="6" eb="8">
      <t>ギョウシュ</t>
    </rPh>
    <rPh sb="10" eb="11">
      <t>ダイ</t>
    </rPh>
    <rPh sb="14" eb="15">
      <t>イ</t>
    </rPh>
    <phoneticPr fontId="3"/>
  </si>
  <si>
    <t>入札参加希望業種
第　３　位</t>
    <rPh sb="0" eb="2">
      <t>ニュウサツ</t>
    </rPh>
    <rPh sb="2" eb="4">
      <t>サンカ</t>
    </rPh>
    <rPh sb="4" eb="6">
      <t>キボウ</t>
    </rPh>
    <rPh sb="6" eb="8">
      <t>ギョウシュ</t>
    </rPh>
    <rPh sb="10" eb="11">
      <t>ダイ</t>
    </rPh>
    <rPh sb="14" eb="15">
      <t>イ</t>
    </rPh>
    <phoneticPr fontId="3"/>
  </si>
  <si>
    <t>経営状況の点数（評点Ｙ）</t>
    <rPh sb="0" eb="2">
      <t>ケイエイ</t>
    </rPh>
    <rPh sb="2" eb="4">
      <t>ジョウキョウ</t>
    </rPh>
    <rPh sb="5" eb="7">
      <t>テンスウ</t>
    </rPh>
    <rPh sb="8" eb="10">
      <t>ヒョウテン</t>
    </rPh>
    <phoneticPr fontId="3"/>
  </si>
  <si>
    <t>社会性等の点数（評点Ｗ）</t>
    <rPh sb="0" eb="3">
      <t>シャカイセイ</t>
    </rPh>
    <rPh sb="3" eb="4">
      <t>トウ</t>
    </rPh>
    <rPh sb="5" eb="7">
      <t>テンスウ</t>
    </rPh>
    <rPh sb="8" eb="10">
      <t>ヒョウテン</t>
    </rPh>
    <phoneticPr fontId="3"/>
  </si>
  <si>
    <t>自己資本額（評点Ｘ２関係）</t>
    <rPh sb="0" eb="2">
      <t>ジコ</t>
    </rPh>
    <rPh sb="2" eb="5">
      <t>シホンガク</t>
    </rPh>
    <rPh sb="6" eb="8">
      <t>ヒョウテン</t>
    </rPh>
    <rPh sb="10" eb="12">
      <t>カンケイ</t>
    </rPh>
    <phoneticPr fontId="3"/>
  </si>
  <si>
    <t>委　託
または
物　品</t>
    <rPh sb="0" eb="1">
      <t>イ</t>
    </rPh>
    <rPh sb="2" eb="3">
      <t>コトヅケ</t>
    </rPh>
    <rPh sb="10" eb="11">
      <t>モノ</t>
    </rPh>
    <rPh sb="12" eb="13">
      <t>シナ</t>
    </rPh>
    <phoneticPr fontId="3"/>
  </si>
  <si>
    <t>工　事</t>
    <rPh sb="0" eb="1">
      <t>コウ</t>
    </rPh>
    <rPh sb="2" eb="3">
      <t>コト</t>
    </rPh>
    <phoneticPr fontId="3"/>
  </si>
  <si>
    <t>委託</t>
    <rPh sb="0" eb="2">
      <t>イタク</t>
    </rPh>
    <phoneticPr fontId="3"/>
  </si>
  <si>
    <t>技術員（有資格者）</t>
    <rPh sb="0" eb="3">
      <t>ギジュツイン</t>
    </rPh>
    <rPh sb="4" eb="8">
      <t>ユウシカクシャ</t>
    </rPh>
    <phoneticPr fontId="3"/>
  </si>
  <si>
    <t>その他の技術員</t>
    <rPh sb="2" eb="3">
      <t>タ</t>
    </rPh>
    <rPh sb="4" eb="7">
      <t>ギジュツイン</t>
    </rPh>
    <phoneticPr fontId="3"/>
  </si>
  <si>
    <t>営業員</t>
    <rPh sb="0" eb="3">
      <t>エイギョウイン</t>
    </rPh>
    <phoneticPr fontId="3"/>
  </si>
  <si>
    <t>物品</t>
    <rPh sb="0" eb="2">
      <t>ブッピン</t>
    </rPh>
    <phoneticPr fontId="3"/>
  </si>
  <si>
    <t>営業年数</t>
    <rPh sb="0" eb="2">
      <t>エイギョウ</t>
    </rPh>
    <rPh sb="2" eb="4">
      <t>ネンスウ</t>
    </rPh>
    <phoneticPr fontId="3"/>
  </si>
  <si>
    <t>委託・物品</t>
    <rPh sb="0" eb="2">
      <t>イタク</t>
    </rPh>
    <rPh sb="3" eb="5">
      <t>ブッピン</t>
    </rPh>
    <phoneticPr fontId="3"/>
  </si>
  <si>
    <t>点</t>
    <rPh sb="0" eb="1">
      <t>テン</t>
    </rPh>
    <phoneticPr fontId="3"/>
  </si>
  <si>
    <t>年</t>
    <rPh sb="0" eb="1">
      <t>ネン</t>
    </rPh>
    <phoneticPr fontId="3"/>
  </si>
  <si>
    <t>審査対象者数（組合含む）</t>
    <rPh sb="0" eb="2">
      <t>シンサ</t>
    </rPh>
    <rPh sb="2" eb="5">
      <t>タイショウシャ</t>
    </rPh>
    <rPh sb="5" eb="6">
      <t>スウ</t>
    </rPh>
    <rPh sb="7" eb="9">
      <t>クミアイ</t>
    </rPh>
    <rPh sb="9" eb="10">
      <t>フク</t>
    </rPh>
    <phoneticPr fontId="10"/>
  </si>
  <si>
    <t>区　分</t>
    <rPh sb="0" eb="1">
      <t>ク</t>
    </rPh>
    <rPh sb="2" eb="3">
      <t>ブン</t>
    </rPh>
    <phoneticPr fontId="10"/>
  </si>
  <si>
    <t>様式第１号「事業協同組合等経営規模等総括表」の「合計」の数値</t>
    <rPh sb="0" eb="2">
      <t>ヨウシキ</t>
    </rPh>
    <rPh sb="2" eb="3">
      <t>ダイ</t>
    </rPh>
    <rPh sb="4" eb="5">
      <t>ゴウ</t>
    </rPh>
    <rPh sb="6" eb="8">
      <t>ジギョウ</t>
    </rPh>
    <rPh sb="8" eb="10">
      <t>キョウドウ</t>
    </rPh>
    <rPh sb="10" eb="12">
      <t>クミアイ</t>
    </rPh>
    <rPh sb="12" eb="13">
      <t>トウ</t>
    </rPh>
    <rPh sb="13" eb="15">
      <t>ケイエイ</t>
    </rPh>
    <rPh sb="15" eb="17">
      <t>キボ</t>
    </rPh>
    <rPh sb="17" eb="18">
      <t>トウ</t>
    </rPh>
    <rPh sb="18" eb="21">
      <t>ソウカツヒョウ</t>
    </rPh>
    <rPh sb="24" eb="26">
      <t>ゴウケイ</t>
    </rPh>
    <rPh sb="28" eb="30">
      <t>スウチ</t>
    </rPh>
    <phoneticPr fontId="10"/>
  </si>
  <si>
    <t>テーブル数値</t>
    <rPh sb="4" eb="6">
      <t>スウチ</t>
    </rPh>
    <phoneticPr fontId="10"/>
  </si>
  <si>
    <t>テーブル点数または評点</t>
    <rPh sb="4" eb="6">
      <t>テンスウ</t>
    </rPh>
    <rPh sb="9" eb="11">
      <t>ヒョウテン</t>
    </rPh>
    <phoneticPr fontId="10"/>
  </si>
  <si>
    <t>特例の算定結果</t>
    <rPh sb="0" eb="2">
      <t>トクレイ</t>
    </rPh>
    <rPh sb="3" eb="5">
      <t>サンテイ</t>
    </rPh>
    <rPh sb="5" eb="7">
      <t>ケッカ</t>
    </rPh>
    <phoneticPr fontId="10"/>
  </si>
  <si>
    <t>ウエイト調整後点数
（特例算定点数×ウエイト）</t>
    <rPh sb="4" eb="7">
      <t>チョウセイゴ</t>
    </rPh>
    <rPh sb="7" eb="9">
      <t>テンスウ</t>
    </rPh>
    <rPh sb="11" eb="13">
      <t>トクレイ</t>
    </rPh>
    <rPh sb="13" eb="15">
      <t>サンテイ</t>
    </rPh>
    <rPh sb="15" eb="17">
      <t>テンスウ</t>
    </rPh>
    <phoneticPr fontId="10"/>
  </si>
  <si>
    <t>特例</t>
    <rPh sb="0" eb="2">
      <t>トクレイ</t>
    </rPh>
    <phoneticPr fontId="10"/>
  </si>
  <si>
    <t>特例算定点数</t>
    <rPh sb="0" eb="2">
      <t>トクレイ</t>
    </rPh>
    <rPh sb="2" eb="4">
      <t>サンテイ</t>
    </rPh>
    <rPh sb="4" eb="6">
      <t>テンスウ</t>
    </rPh>
    <phoneticPr fontId="10"/>
  </si>
  <si>
    <t>評点　Ｘ１</t>
    <rPh sb="0" eb="2">
      <t>ヒョウテン</t>
    </rPh>
    <phoneticPr fontId="10"/>
  </si>
  <si>
    <t>和（合計）</t>
    <rPh sb="0" eb="1">
      <t>ワ</t>
    </rPh>
    <rPh sb="2" eb="4">
      <t>ゴウケイ</t>
    </rPh>
    <phoneticPr fontId="10"/>
  </si>
  <si>
    <t>評点 Ｘ２</t>
    <phoneticPr fontId="10"/>
  </si>
  <si>
    <t>数値＝職員数（人）÷年間平均完成工事高（億円）×100
　【小数点以下第１位四捨五入】
※ただし、年間平均完成工事高が1200億円を超える場合は1200億円とみなす</t>
    <rPh sb="0" eb="2">
      <t>スウチ</t>
    </rPh>
    <rPh sb="3" eb="6">
      <t>ショクインスウ</t>
    </rPh>
    <rPh sb="7" eb="8">
      <t>ニン</t>
    </rPh>
    <rPh sb="10" eb="12">
      <t>ネンカン</t>
    </rPh>
    <rPh sb="12" eb="14">
      <t>ヘイキン</t>
    </rPh>
    <rPh sb="14" eb="16">
      <t>カンセイ</t>
    </rPh>
    <rPh sb="16" eb="19">
      <t>コウジダカ</t>
    </rPh>
    <rPh sb="20" eb="22">
      <t>オクエン</t>
    </rPh>
    <rPh sb="30" eb="33">
      <t>ショウスウテン</t>
    </rPh>
    <rPh sb="33" eb="35">
      <t>イカ</t>
    </rPh>
    <rPh sb="35" eb="36">
      <t>ダイ</t>
    </rPh>
    <rPh sb="37" eb="38">
      <t>イ</t>
    </rPh>
    <rPh sb="38" eb="42">
      <t>シシャゴニュウ</t>
    </rPh>
    <rPh sb="49" eb="51">
      <t>ネンカン</t>
    </rPh>
    <rPh sb="51" eb="53">
      <t>ヘイキン</t>
    </rPh>
    <rPh sb="53" eb="55">
      <t>カンセイ</t>
    </rPh>
    <rPh sb="55" eb="58">
      <t>コウジダカ</t>
    </rPh>
    <rPh sb="63" eb="65">
      <t>オクエン</t>
    </rPh>
    <rPh sb="66" eb="67">
      <t>コ</t>
    </rPh>
    <rPh sb="69" eb="71">
      <t>バアイ</t>
    </rPh>
    <rPh sb="76" eb="78">
      <t>オクエン</t>
    </rPh>
    <phoneticPr fontId="10"/>
  </si>
  <si>
    <t>評点　Ｙ</t>
    <phoneticPr fontId="10"/>
  </si>
  <si>
    <t>経営状況</t>
    <rPh sb="0" eb="2">
      <t>ケイエイ</t>
    </rPh>
    <rPh sb="2" eb="4">
      <t>ジョウキョウ</t>
    </rPh>
    <phoneticPr fontId="10"/>
  </si>
  <si>
    <t>平均値</t>
    <rPh sb="0" eb="3">
      <t>ヘイキンチ</t>
    </rPh>
    <phoneticPr fontId="10"/>
  </si>
  <si>
    <t>技術職員（人）</t>
    <rPh sb="0" eb="2">
      <t>ギジュツ</t>
    </rPh>
    <rPh sb="2" eb="4">
      <t>ショクイン</t>
    </rPh>
    <rPh sb="5" eb="6">
      <t>ニン</t>
    </rPh>
    <phoneticPr fontId="10"/>
  </si>
  <si>
    <t>人数×５</t>
    <rPh sb="0" eb="2">
      <t>ニンズウ</t>
    </rPh>
    <phoneticPr fontId="10"/>
  </si>
  <si>
    <t>２級</t>
  </si>
  <si>
    <t>人数×２</t>
    <rPh sb="0" eb="2">
      <t>ニンズウ</t>
    </rPh>
    <phoneticPr fontId="10"/>
  </si>
  <si>
    <t>その他</t>
  </si>
  <si>
    <t>人数×１</t>
    <rPh sb="0" eb="2">
      <t>ニンズウ</t>
    </rPh>
    <phoneticPr fontId="10"/>
  </si>
  <si>
    <t>計</t>
    <rPh sb="0" eb="1">
      <t>ケイ</t>
    </rPh>
    <phoneticPr fontId="10"/>
  </si>
  <si>
    <t>評点　Ｗ</t>
    <phoneticPr fontId="10"/>
  </si>
  <si>
    <t>社会性等</t>
    <rPh sb="0" eb="3">
      <t>シャカイセイ</t>
    </rPh>
    <rPh sb="3" eb="4">
      <t>トウ</t>
    </rPh>
    <phoneticPr fontId="10"/>
  </si>
  <si>
    <t>自己資本額数値</t>
  </si>
  <si>
    <t>Ｘ２１</t>
  </si>
  <si>
    <t>Ｘ２２</t>
  </si>
  <si>
    <t>合計</t>
  </si>
  <si>
    <t>Ｘ２</t>
  </si>
  <si>
    <t xml:space="preserve"> </t>
  </si>
  <si>
    <t>-</t>
    <phoneticPr fontId="10"/>
  </si>
  <si>
    <t>　工事請負契約の資格の認定に関する特例の算定表（補助様式）</t>
    <rPh sb="1" eb="3">
      <t>コウジ</t>
    </rPh>
    <rPh sb="3" eb="5">
      <t>ウケオイ</t>
    </rPh>
    <rPh sb="5" eb="7">
      <t>ケイヤク</t>
    </rPh>
    <rPh sb="8" eb="10">
      <t>シカク</t>
    </rPh>
    <rPh sb="11" eb="13">
      <t>ニンテイ</t>
    </rPh>
    <rPh sb="14" eb="15">
      <t>カン</t>
    </rPh>
    <rPh sb="17" eb="19">
      <t>トクレイ</t>
    </rPh>
    <rPh sb="20" eb="22">
      <t>サンテイ</t>
    </rPh>
    <rPh sb="22" eb="23">
      <t>オモテ</t>
    </rPh>
    <rPh sb="24" eb="26">
      <t>ホジョ</t>
    </rPh>
    <rPh sb="26" eb="28">
      <t>ヨウシキ</t>
    </rPh>
    <phoneticPr fontId="3"/>
  </si>
  <si>
    <r>
      <t>年間平均完成工事高</t>
    </r>
    <r>
      <rPr>
        <sz val="6"/>
        <rFont val="ＭＳ ゴシック"/>
        <family val="3"/>
        <charset val="128"/>
      </rPr>
      <t>（千円）</t>
    </r>
    <rPh sb="0" eb="2">
      <t>ネンカン</t>
    </rPh>
    <rPh sb="2" eb="4">
      <t>ヘイキン</t>
    </rPh>
    <rPh sb="4" eb="6">
      <t>カンセイ</t>
    </rPh>
    <rPh sb="6" eb="9">
      <t>コウジダカ</t>
    </rPh>
    <rPh sb="10" eb="12">
      <t>センエン</t>
    </rPh>
    <phoneticPr fontId="10"/>
  </si>
  <si>
    <r>
      <t>自己資本額</t>
    </r>
    <r>
      <rPr>
        <sz val="6"/>
        <rFont val="ＭＳ ゴシック"/>
        <family val="3"/>
        <charset val="128"/>
      </rPr>
      <t>（千円）</t>
    </r>
    <rPh sb="0" eb="2">
      <t>ジコ</t>
    </rPh>
    <rPh sb="2" eb="5">
      <t>シホンガク</t>
    </rPh>
    <rPh sb="6" eb="8">
      <t>センエン</t>
    </rPh>
    <phoneticPr fontId="10"/>
  </si>
  <si>
    <t>×０．２</t>
    <phoneticPr fontId="10"/>
  </si>
  <si>
    <t>×０．１５</t>
    <phoneticPr fontId="10"/>
  </si>
  <si>
    <t>申請業種（第２位）</t>
    <rPh sb="0" eb="2">
      <t>シンセイ</t>
    </rPh>
    <rPh sb="2" eb="4">
      <t>ギョウシュ</t>
    </rPh>
    <rPh sb="5" eb="6">
      <t>ダイ</t>
    </rPh>
    <rPh sb="7" eb="8">
      <t>イ</t>
    </rPh>
    <phoneticPr fontId="3"/>
  </si>
  <si>
    <t>Ｐ点</t>
    <phoneticPr fontId="10"/>
  </si>
  <si>
    <t>合計　（評点X1＋評点X2＋評点Y＋評点Z＋評点W）</t>
    <rPh sb="0" eb="2">
      <t>ゴウケイ</t>
    </rPh>
    <rPh sb="4" eb="6">
      <t>ヒョウテン</t>
    </rPh>
    <rPh sb="9" eb="11">
      <t>ヒョウテン</t>
    </rPh>
    <rPh sb="14" eb="16">
      <t>ヒョウテン</t>
    </rPh>
    <rPh sb="18" eb="20">
      <t>ヒョウテン</t>
    </rPh>
    <rPh sb="22" eb="24">
      <t>ヒョウテン</t>
    </rPh>
    <phoneticPr fontId="3"/>
  </si>
  <si>
    <t>※小数点以下第１位四捨五入</t>
    <rPh sb="1" eb="4">
      <t>ショウスウテン</t>
    </rPh>
    <rPh sb="4" eb="6">
      <t>イカ</t>
    </rPh>
    <rPh sb="6" eb="7">
      <t>ダイ</t>
    </rPh>
    <rPh sb="8" eb="9">
      <t>イ</t>
    </rPh>
    <rPh sb="9" eb="13">
      <t>シシャゴニュウ</t>
    </rPh>
    <phoneticPr fontId="3"/>
  </si>
  <si>
    <t>Ｘ１</t>
    <phoneticPr fontId="10"/>
  </si>
  <si>
    <t>Ｚ</t>
    <phoneticPr fontId="10"/>
  </si>
  <si>
    <t>利益額（評点Ｘ２関係）</t>
    <rPh sb="0" eb="3">
      <t>リエキガク</t>
    </rPh>
    <rPh sb="4" eb="6">
      <t>ヒョウテン</t>
    </rPh>
    <rPh sb="8" eb="10">
      <t>カンケイ</t>
    </rPh>
    <phoneticPr fontId="3"/>
  </si>
  <si>
    <r>
      <t>利益額</t>
    </r>
    <r>
      <rPr>
        <sz val="6"/>
        <rFont val="ＭＳ ゴシック"/>
        <family val="3"/>
        <charset val="128"/>
      </rPr>
      <t>（千円）</t>
    </r>
    <rPh sb="0" eb="3">
      <t>リエキガク</t>
    </rPh>
    <rPh sb="4" eb="6">
      <t>センエン</t>
    </rPh>
    <phoneticPr fontId="10"/>
  </si>
  <si>
    <t>×０．２５</t>
    <phoneticPr fontId="10"/>
  </si>
  <si>
    <t>×０．１５</t>
    <phoneticPr fontId="10"/>
  </si>
  <si>
    <t>数値＝自己資本額(千円）（＝純資産額）</t>
    <rPh sb="0" eb="2">
      <t>スウチ</t>
    </rPh>
    <rPh sb="3" eb="5">
      <t>ジコ</t>
    </rPh>
    <rPh sb="5" eb="8">
      <t>シホンガク</t>
    </rPh>
    <rPh sb="9" eb="11">
      <t>センエン</t>
    </rPh>
    <rPh sb="14" eb="17">
      <t>ジュンシサン</t>
    </rPh>
    <rPh sb="17" eb="18">
      <t>ガク</t>
    </rPh>
    <phoneticPr fontId="10"/>
  </si>
  <si>
    <t>平均利益額数値</t>
    <rPh sb="0" eb="2">
      <t>ヘイキン</t>
    </rPh>
    <rPh sb="2" eb="5">
      <t>リエキガク</t>
    </rPh>
    <phoneticPr fontId="3"/>
  </si>
  <si>
    <t>技術職員数値</t>
    <rPh sb="0" eb="2">
      <t>ギジュツ</t>
    </rPh>
    <rPh sb="2" eb="4">
      <t>ショクイン</t>
    </rPh>
    <rPh sb="4" eb="6">
      <t>スウチ</t>
    </rPh>
    <phoneticPr fontId="3"/>
  </si>
  <si>
    <t>Ｚ１</t>
    <phoneticPr fontId="3"/>
  </si>
  <si>
    <t>Ｚ２</t>
    <phoneticPr fontId="3"/>
  </si>
  <si>
    <t>元請完工高数値</t>
    <rPh sb="0" eb="2">
      <t>モトウ</t>
    </rPh>
    <rPh sb="2" eb="5">
      <t>カンコウダカ</t>
    </rPh>
    <rPh sb="5" eb="7">
      <t>スウチ</t>
    </rPh>
    <phoneticPr fontId="3"/>
  </si>
  <si>
    <t>(自己資本額点数＋
利益額点数)÷２</t>
    <rPh sb="1" eb="3">
      <t>ジコ</t>
    </rPh>
    <rPh sb="3" eb="6">
      <t>シホンガク</t>
    </rPh>
    <rPh sb="6" eb="8">
      <t>テンスウ</t>
    </rPh>
    <rPh sb="10" eb="13">
      <t>リエキガク</t>
    </rPh>
    <rPh sb="13" eb="15">
      <t>テンスウ</t>
    </rPh>
    <phoneticPr fontId="10"/>
  </si>
  <si>
    <t>※元請完成工事高</t>
    <rPh sb="1" eb="3">
      <t>モトウ</t>
    </rPh>
    <rPh sb="3" eb="5">
      <t>カンセイ</t>
    </rPh>
    <rPh sb="5" eb="7">
      <t>コウジ</t>
    </rPh>
    <rPh sb="7" eb="8">
      <t>ダカ</t>
    </rPh>
    <phoneticPr fontId="3"/>
  </si>
  <si>
    <t>評点　Ｚ</t>
    <rPh sb="0" eb="2">
      <t>ヒョウテン</t>
    </rPh>
    <phoneticPr fontId="3"/>
  </si>
  <si>
    <r>
      <t>元請完成工事高</t>
    </r>
    <r>
      <rPr>
        <sz val="6"/>
        <rFont val="ＭＳ ゴシック"/>
        <family val="3"/>
        <charset val="128"/>
      </rPr>
      <t>（千円）</t>
    </r>
    <rPh sb="0" eb="2">
      <t>モトウ</t>
    </rPh>
    <rPh sb="2" eb="4">
      <t>カンセイ</t>
    </rPh>
    <rPh sb="4" eb="6">
      <t>コウジ</t>
    </rPh>
    <rPh sb="6" eb="7">
      <t>ダカ</t>
    </rPh>
    <rPh sb="8" eb="10">
      <t>センエン</t>
    </rPh>
    <phoneticPr fontId="3"/>
  </si>
  <si>
    <t>１級（講習受講者）</t>
    <rPh sb="3" eb="5">
      <t>コウシュウ</t>
    </rPh>
    <rPh sb="5" eb="8">
      <t>ジュコウシャ</t>
    </rPh>
    <phoneticPr fontId="3"/>
  </si>
  <si>
    <t>１級（上記以外）</t>
    <rPh sb="1" eb="2">
      <t>キュウ</t>
    </rPh>
    <rPh sb="3" eb="5">
      <t>ジョウキ</t>
    </rPh>
    <rPh sb="5" eb="7">
      <t>イガイ</t>
    </rPh>
    <phoneticPr fontId="3"/>
  </si>
  <si>
    <t>基幹技能者</t>
    <rPh sb="0" eb="2">
      <t>キカン</t>
    </rPh>
    <rPh sb="2" eb="5">
      <t>ギノウシャ</t>
    </rPh>
    <phoneticPr fontId="3"/>
  </si>
  <si>
    <t>人数×３</t>
    <rPh sb="0" eb="2">
      <t>ニンズウ</t>
    </rPh>
    <phoneticPr fontId="10"/>
  </si>
  <si>
    <t>人数×６</t>
    <rPh sb="0" eb="2">
      <t>ニンズウ</t>
    </rPh>
    <phoneticPr fontId="10"/>
  </si>
  <si>
    <t>技術職員
（工事のみ）
評点Ｚ関係</t>
    <rPh sb="0" eb="2">
      <t>ギジュツ</t>
    </rPh>
    <rPh sb="2" eb="4">
      <t>ショクイン</t>
    </rPh>
    <rPh sb="6" eb="8">
      <t>コウジ</t>
    </rPh>
    <rPh sb="12" eb="14">
      <t>ヒョウテン</t>
    </rPh>
    <rPh sb="15" eb="17">
      <t>カンケイ</t>
    </rPh>
    <phoneticPr fontId="3"/>
  </si>
  <si>
    <t>１級
（講習受講者）</t>
    <rPh sb="1" eb="2">
      <t>キュウ</t>
    </rPh>
    <rPh sb="4" eb="6">
      <t>コウシュウ</t>
    </rPh>
    <rPh sb="6" eb="9">
      <t>ジュコウシャ</t>
    </rPh>
    <phoneticPr fontId="3"/>
  </si>
  <si>
    <t>１級
（上記以外）</t>
    <rPh sb="1" eb="2">
      <t>キュウ</t>
    </rPh>
    <rPh sb="4" eb="6">
      <t>ジョウキ</t>
    </rPh>
    <rPh sb="6" eb="8">
      <t>イガイ</t>
    </rPh>
    <phoneticPr fontId="3"/>
  </si>
  <si>
    <t>※年間平均完成工事
（業務・売上）高</t>
    <rPh sb="1" eb="3">
      <t>ネンカン</t>
    </rPh>
    <rPh sb="3" eb="5">
      <t>ヘイキン</t>
    </rPh>
    <rPh sb="5" eb="7">
      <t>カンセイ</t>
    </rPh>
    <rPh sb="7" eb="9">
      <t>コウジ</t>
    </rPh>
    <rPh sb="11" eb="13">
      <t>ギョウム</t>
    </rPh>
    <rPh sb="14" eb="15">
      <t>ウ</t>
    </rPh>
    <rPh sb="15" eb="16">
      <t>ア</t>
    </rPh>
    <rPh sb="17" eb="18">
      <t>ダカ</t>
    </rPh>
    <phoneticPr fontId="3"/>
  </si>
  <si>
    <t>×０．２５</t>
    <phoneticPr fontId="3"/>
  </si>
  <si>
    <t>和（合計）</t>
    <rPh sb="0" eb="1">
      <t>ワ</t>
    </rPh>
    <rPh sb="2" eb="4">
      <t>ゴウケイ</t>
    </rPh>
    <phoneticPr fontId="3"/>
  </si>
  <si>
    <t>（技術職員点数×0.8）＋（元請完工高点数×0.2）</t>
    <rPh sb="1" eb="3">
      <t>ギジュツ</t>
    </rPh>
    <rPh sb="3" eb="5">
      <t>ショクイン</t>
    </rPh>
    <rPh sb="5" eb="7">
      <t>テンスウ</t>
    </rPh>
    <rPh sb="14" eb="16">
      <t>モトウ</t>
    </rPh>
    <rPh sb="16" eb="19">
      <t>カンコウダカ</t>
    </rPh>
    <rPh sb="19" eb="21">
      <t>テンスウ</t>
    </rPh>
    <phoneticPr fontId="3"/>
  </si>
  <si>
    <t>申請業種（第１位）</t>
    <rPh sb="0" eb="2">
      <t>シンセイ</t>
    </rPh>
    <rPh sb="2" eb="4">
      <t>ギョウシュ</t>
    </rPh>
    <rPh sb="5" eb="6">
      <t>ダイ</t>
    </rPh>
    <rPh sb="7" eb="8">
      <t>イ</t>
    </rPh>
    <phoneticPr fontId="3"/>
  </si>
  <si>
    <t>申請業種（第３位）</t>
    <rPh sb="0" eb="2">
      <t>シンセイ</t>
    </rPh>
    <rPh sb="2" eb="4">
      <t>ギョウシュ</t>
    </rPh>
    <rPh sb="5" eb="6">
      <t>ダイ</t>
    </rPh>
    <rPh sb="7" eb="8">
      <t>イ</t>
    </rPh>
    <phoneticPr fontId="3"/>
  </si>
  <si>
    <t>業者番号※新規業者は記入不要です。</t>
    <rPh sb="0" eb="2">
      <t>ギョウシャ</t>
    </rPh>
    <rPh sb="2" eb="4">
      <t>バンゴウ</t>
    </rPh>
    <rPh sb="5" eb="7">
      <t>シンキ</t>
    </rPh>
    <rPh sb="7" eb="9">
      <t>ギョウシャ</t>
    </rPh>
    <rPh sb="10" eb="12">
      <t>キニュウ</t>
    </rPh>
    <rPh sb="12" eb="14">
      <t>フヨウ</t>
    </rPh>
    <phoneticPr fontId="3"/>
  </si>
  <si>
    <t>事業協同組合等経営規模等総括表</t>
    <rPh sb="0" eb="2">
      <t>ジギョウ</t>
    </rPh>
    <rPh sb="2" eb="4">
      <t>キョウドウ</t>
    </rPh>
    <rPh sb="4" eb="6">
      <t>クミアイ</t>
    </rPh>
    <rPh sb="6" eb="7">
      <t>トウ</t>
    </rPh>
    <rPh sb="7" eb="9">
      <t>ケイエイ</t>
    </rPh>
    <rPh sb="9" eb="11">
      <t>キボ</t>
    </rPh>
    <rPh sb="11" eb="12">
      <t>トウ</t>
    </rPh>
    <rPh sb="12" eb="15">
      <t>ソウカツヒョウ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</si>
</sst>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
    <numFmt numFmtId="177" formatCode="0.00_);[Red]\(0.00\)"/>
    <numFmt numFmtId="178" formatCode="0_);[Red]\(0\)"/>
    <numFmt numFmtId="179" formatCode="#,##0_ "/>
    <numFmt numFmtId="180" formatCode="#,##0_);[Red]\(#,##0\)"/>
    <numFmt numFmtId="181" formatCode="0_ "/>
  </numFmts>
  <fonts count="32">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1"/>
      <color indexed="12"/>
      <name val="ＭＳ Ｐゴシック"/>
      <family val="3"/>
      <charset val="128"/>
    </font>
    <font>
      <b/>
      <sz val="16"/>
      <name val="ＭＳ Ｐゴシック"/>
      <family val="3"/>
      <charset val="128"/>
    </font>
    <font>
      <sz val="10"/>
      <name val="ＭＳ 明朝"/>
      <family val="1"/>
      <charset val="128"/>
    </font>
    <font>
      <sz val="6"/>
      <name val="ＭＳ 明朝"/>
      <family val="1"/>
      <charset val="128"/>
    </font>
    <font>
      <sz val="10"/>
      <name val="ＭＳ ゴシック"/>
      <family val="3"/>
      <charset val="128"/>
    </font>
    <font>
      <sz val="9"/>
      <name val="ＭＳ ゴシック"/>
      <family val="3"/>
      <charset val="128"/>
    </font>
    <font>
      <sz val="8"/>
      <name val="ＭＳ ゴシック"/>
      <family val="3"/>
      <charset val="128"/>
    </font>
    <font>
      <sz val="10"/>
      <color indexed="12"/>
      <name val="ＭＳ 明朝"/>
      <family val="1"/>
      <charset val="128"/>
    </font>
    <font>
      <sz val="10"/>
      <color indexed="22"/>
      <name val="ＭＳ 明朝"/>
      <family val="1"/>
      <charset val="128"/>
    </font>
    <font>
      <b/>
      <sz val="12"/>
      <name val="ＭＳ ゴシック"/>
      <family val="3"/>
      <charset val="128"/>
    </font>
    <font>
      <sz val="12"/>
      <name val="ＭＳ ゴシック"/>
      <family val="3"/>
      <charset val="128"/>
    </font>
    <font>
      <sz val="12"/>
      <name val="HG丸ｺﾞｼｯｸM-PRO"/>
      <family val="3"/>
      <charset val="128"/>
    </font>
    <font>
      <sz val="10"/>
      <name val="HG丸ｺﾞｼｯｸM-PRO"/>
      <family val="3"/>
      <charset val="128"/>
    </font>
    <font>
      <sz val="10"/>
      <color indexed="12"/>
      <name val="ＭＳ Ｐゴシック"/>
      <family val="3"/>
      <charset val="128"/>
    </font>
    <font>
      <sz val="6"/>
      <name val="ＭＳ ゴシック"/>
      <family val="3"/>
      <charset val="128"/>
    </font>
    <font>
      <sz val="11"/>
      <name val="MS UI Gothic"/>
      <family val="3"/>
      <charset val="128"/>
    </font>
    <font>
      <sz val="6"/>
      <name val="MS UI Gothic"/>
      <family val="3"/>
      <charset val="128"/>
    </font>
    <font>
      <sz val="11"/>
      <name val="ＭＳ ゴシック"/>
      <family val="3"/>
      <charset val="128"/>
    </font>
    <font>
      <b/>
      <sz val="10"/>
      <name val="ＭＳ ゴシック"/>
      <family val="3"/>
      <charset val="128"/>
    </font>
    <font>
      <b/>
      <sz val="14"/>
      <color indexed="12"/>
      <name val="ＭＳ ゴシック"/>
      <family val="3"/>
      <charset val="128"/>
    </font>
    <font>
      <i/>
      <u/>
      <sz val="9"/>
      <name val="MS UI Gothic"/>
      <family val="3"/>
      <charset val="128"/>
    </font>
    <font>
      <b/>
      <sz val="11"/>
      <name val="ＭＳ Ｐゴシック"/>
      <family val="3"/>
      <charset val="128"/>
    </font>
    <font>
      <b/>
      <sz val="10"/>
      <name val="ＭＳ 明朝"/>
      <family val="1"/>
      <charset val="128"/>
    </font>
    <font>
      <sz val="14"/>
      <color indexed="12"/>
      <name val="ＭＳ Ｐゴシック"/>
      <family val="3"/>
      <charset val="128"/>
    </font>
    <font>
      <sz val="12"/>
      <color indexed="81"/>
      <name val="MS P ゴシック"/>
      <family val="3"/>
      <charset val="128"/>
    </font>
  </fonts>
  <fills count="7">
    <fill>
      <patternFill patternType="none"/>
    </fill>
    <fill>
      <patternFill patternType="gray125"/>
    </fill>
    <fill>
      <patternFill patternType="solid">
        <fgColor indexed="31"/>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
      <patternFill patternType="solid">
        <fgColor indexed="42"/>
        <bgColor indexed="64"/>
      </patternFill>
    </fill>
  </fills>
  <borders count="72">
    <border>
      <left/>
      <right/>
      <top/>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8"/>
      </left>
      <right style="thin">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39"/>
      </right>
      <top style="thin">
        <color indexed="8"/>
      </top>
      <bottom style="thin">
        <color indexed="8"/>
      </bottom>
      <diagonal/>
    </border>
    <border>
      <left style="dotted">
        <color indexed="8"/>
      </left>
      <right style="medium">
        <color indexed="39"/>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39"/>
      </right>
      <top style="thin">
        <color indexed="8"/>
      </top>
      <bottom/>
      <diagonal/>
    </border>
    <border>
      <left style="dotted">
        <color indexed="8"/>
      </left>
      <right style="medium">
        <color indexed="39"/>
      </right>
      <top style="thin">
        <color indexed="8"/>
      </top>
      <bottom/>
      <diagonal/>
    </border>
    <border>
      <left style="medium">
        <color indexed="39"/>
      </left>
      <right/>
      <top style="thin">
        <color indexed="8"/>
      </top>
      <bottom style="thin">
        <color indexed="8"/>
      </bottom>
      <diagonal/>
    </border>
    <border>
      <left style="double">
        <color indexed="8"/>
      </left>
      <right style="double">
        <color indexed="8"/>
      </right>
      <top style="double">
        <color indexed="8"/>
      </top>
      <bottom style="double">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medium">
        <color indexed="39"/>
      </left>
      <right/>
      <top/>
      <bottom/>
      <diagonal/>
    </border>
    <border>
      <left style="thin">
        <color indexed="8"/>
      </left>
      <right/>
      <top style="thin">
        <color indexed="8"/>
      </top>
      <bottom/>
      <diagonal/>
    </border>
    <border>
      <left/>
      <right style="thin">
        <color indexed="8"/>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8"/>
      </left>
      <right style="thin">
        <color indexed="8"/>
      </right>
      <top/>
      <bottom/>
      <diagonal/>
    </border>
    <border>
      <left style="medium">
        <color indexed="39"/>
      </left>
      <right style="dotted">
        <color indexed="8"/>
      </right>
      <top style="thin">
        <color indexed="8"/>
      </top>
      <bottom style="thin">
        <color indexed="8"/>
      </bottom>
      <diagonal/>
    </border>
    <border>
      <left style="medium">
        <color indexed="39"/>
      </left>
      <right/>
      <top style="medium">
        <color indexed="39"/>
      </top>
      <bottom/>
      <diagonal/>
    </border>
    <border>
      <left/>
      <right style="medium">
        <color indexed="39"/>
      </right>
      <top style="medium">
        <color indexed="39"/>
      </top>
      <bottom/>
      <diagonal/>
    </border>
    <border>
      <left style="medium">
        <color indexed="39"/>
      </left>
      <right/>
      <top/>
      <bottom style="thin">
        <color indexed="8"/>
      </bottom>
      <diagonal/>
    </border>
    <border>
      <left/>
      <right style="medium">
        <color indexed="39"/>
      </right>
      <top/>
      <bottom style="thin">
        <color indexed="8"/>
      </bottom>
      <diagonal/>
    </border>
    <border>
      <left/>
      <right/>
      <top style="thin">
        <color indexed="8"/>
      </top>
      <bottom/>
      <diagonal/>
    </border>
    <border>
      <left/>
      <right/>
      <top/>
      <bottom style="thin">
        <color indexed="8"/>
      </bottom>
      <diagonal/>
    </border>
    <border>
      <left/>
      <right style="thin">
        <color indexed="8"/>
      </right>
      <top/>
      <bottom style="thin">
        <color indexed="8"/>
      </bottom>
      <diagonal/>
    </border>
    <border>
      <left style="medium">
        <color indexed="39"/>
      </left>
      <right style="dotted">
        <color indexed="8"/>
      </right>
      <top style="thin">
        <color indexed="8"/>
      </top>
      <bottom/>
      <diagonal/>
    </border>
    <border>
      <left style="medium">
        <color indexed="39"/>
      </left>
      <right style="dotted">
        <color indexed="8"/>
      </right>
      <top/>
      <bottom/>
      <diagonal/>
    </border>
    <border>
      <left style="medium">
        <color indexed="39"/>
      </left>
      <right style="dotted">
        <color indexed="8"/>
      </right>
      <top/>
      <bottom style="thin">
        <color indexed="64"/>
      </bottom>
      <diagonal/>
    </border>
    <border>
      <left style="dotted">
        <color indexed="8"/>
      </left>
      <right style="medium">
        <color indexed="39"/>
      </right>
      <top/>
      <bottom/>
      <diagonal/>
    </border>
    <border>
      <left style="dotted">
        <color indexed="8"/>
      </left>
      <right style="medium">
        <color indexed="39"/>
      </right>
      <top/>
      <bottom style="thin">
        <color indexed="8"/>
      </bottom>
      <diagonal/>
    </border>
    <border>
      <left style="thin">
        <color indexed="8"/>
      </left>
      <right/>
      <top style="thin">
        <color indexed="8"/>
      </top>
      <bottom style="dotted">
        <color indexed="8"/>
      </bottom>
      <diagonal/>
    </border>
    <border>
      <left/>
      <right/>
      <top style="thin">
        <color indexed="8"/>
      </top>
      <bottom style="dotted">
        <color indexed="8"/>
      </bottom>
      <diagonal/>
    </border>
    <border>
      <left style="thin">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39"/>
      </right>
      <top style="double">
        <color indexed="64"/>
      </top>
      <bottom style="thin">
        <color indexed="64"/>
      </bottom>
      <diagonal/>
    </border>
    <border>
      <left style="medium">
        <color indexed="39"/>
      </left>
      <right style="thin">
        <color indexed="64"/>
      </right>
      <top style="double">
        <color indexed="64"/>
      </top>
      <bottom style="medium">
        <color indexed="39"/>
      </bottom>
      <diagonal/>
    </border>
    <border>
      <left style="thin">
        <color indexed="64"/>
      </left>
      <right style="medium">
        <color indexed="39"/>
      </right>
      <top style="double">
        <color indexed="64"/>
      </top>
      <bottom style="medium">
        <color indexed="39"/>
      </bottom>
      <diagonal/>
    </border>
    <border>
      <left style="thin">
        <color indexed="8"/>
      </left>
      <right style="medium">
        <color indexed="39"/>
      </right>
      <top/>
      <bottom/>
      <diagonal/>
    </border>
    <border>
      <left style="thin">
        <color indexed="8"/>
      </left>
      <right style="medium">
        <color indexed="39"/>
      </right>
      <top/>
      <bottom style="thin">
        <color indexed="8"/>
      </bottom>
      <diagonal/>
    </border>
  </borders>
  <cellStyleXfs count="2">
    <xf numFmtId="0" fontId="0" fillId="0" borderId="0">
      <alignment vertical="center"/>
    </xf>
    <xf numFmtId="0" fontId="2" fillId="0" borderId="0">
      <alignment vertical="center"/>
    </xf>
  </cellStyleXfs>
  <cellXfs count="219">
    <xf numFmtId="0" fontId="0" fillId="0" borderId="0" xfId="0">
      <alignment vertical="center"/>
    </xf>
    <xf numFmtId="0" fontId="0" fillId="2" borderId="1" xfId="0" applyFill="1" applyBorder="1" applyAlignment="1">
      <alignment vertical="center" shrinkToFit="1"/>
    </xf>
    <xf numFmtId="0" fontId="0" fillId="2" borderId="1" xfId="0" applyFill="1" applyBorder="1" applyAlignment="1">
      <alignment horizontal="distributed" vertical="center" shrinkToFit="1"/>
    </xf>
    <xf numFmtId="176" fontId="0" fillId="2" borderId="2" xfId="0" applyNumberFormat="1" applyFill="1" applyBorder="1" applyAlignment="1">
      <alignment horizontal="right" vertical="center" shrinkToFit="1"/>
    </xf>
    <xf numFmtId="0" fontId="4" fillId="0" borderId="3" xfId="0" applyFont="1" applyBorder="1" applyAlignment="1">
      <alignment horizontal="right" vertical="center"/>
    </xf>
    <xf numFmtId="0" fontId="4" fillId="0" borderId="4" xfId="0" applyFont="1" applyFill="1" applyBorder="1" applyAlignment="1">
      <alignment horizontal="right" vertical="center"/>
    </xf>
    <xf numFmtId="0" fontId="4" fillId="0" borderId="5" xfId="0" applyFont="1" applyFill="1" applyBorder="1" applyAlignment="1">
      <alignment horizontal="right" vertical="center"/>
    </xf>
    <xf numFmtId="0" fontId="4" fillId="0" borderId="6" xfId="0" applyFont="1" applyBorder="1" applyAlignment="1">
      <alignment horizontal="right" vertical="center"/>
    </xf>
    <xf numFmtId="0" fontId="4" fillId="0" borderId="7" xfId="0" applyFont="1" applyFill="1" applyBorder="1" applyAlignment="1">
      <alignment horizontal="right" vertical="center"/>
    </xf>
    <xf numFmtId="0" fontId="4" fillId="0" borderId="8" xfId="0" applyFont="1" applyFill="1" applyBorder="1" applyAlignment="1">
      <alignment horizontal="right" vertical="center"/>
    </xf>
    <xf numFmtId="0" fontId="9" fillId="0" borderId="0" xfId="0" applyFont="1">
      <alignment vertical="center"/>
    </xf>
    <xf numFmtId="0" fontId="9" fillId="0" borderId="0" xfId="0" applyFont="1" applyAlignment="1">
      <alignment horizontal="right"/>
    </xf>
    <xf numFmtId="0" fontId="11"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1" fillId="4" borderId="9" xfId="0" applyFont="1" applyFill="1" applyBorder="1" applyAlignment="1">
      <alignment vertical="center"/>
    </xf>
    <xf numFmtId="0" fontId="15" fillId="0" borderId="0" xfId="0" applyFont="1">
      <alignment vertical="center"/>
    </xf>
    <xf numFmtId="177" fontId="15" fillId="0" borderId="0" xfId="0" applyNumberFormat="1" applyFont="1">
      <alignment vertical="center"/>
    </xf>
    <xf numFmtId="39" fontId="15" fillId="0" borderId="0" xfId="0" applyNumberFormat="1" applyFont="1" applyProtection="1">
      <alignment vertical="center"/>
    </xf>
    <xf numFmtId="0" fontId="14" fillId="0" borderId="0" xfId="0" applyFont="1" applyProtection="1">
      <alignment vertical="center"/>
      <protection locked="0"/>
    </xf>
    <xf numFmtId="0" fontId="2" fillId="0" borderId="0" xfId="1">
      <alignment vertical="center"/>
    </xf>
    <xf numFmtId="178" fontId="0" fillId="0" borderId="0" xfId="0" applyNumberFormat="1">
      <alignment vertical="center"/>
    </xf>
    <xf numFmtId="0" fontId="17" fillId="0" borderId="0" xfId="0" applyFont="1">
      <alignment vertical="center"/>
    </xf>
    <xf numFmtId="0" fontId="18" fillId="0" borderId="0" xfId="0" applyFont="1" applyAlignment="1">
      <alignment horizontal="center" vertical="center"/>
    </xf>
    <xf numFmtId="0" fontId="19" fillId="3" borderId="11" xfId="0" applyFont="1" applyFill="1" applyBorder="1" applyAlignment="1">
      <alignment horizontal="center" vertical="center"/>
    </xf>
    <xf numFmtId="179" fontId="5" fillId="0" borderId="12" xfId="0" applyNumberFormat="1" applyFont="1" applyBorder="1" applyAlignment="1">
      <alignment horizontal="right" vertical="center"/>
    </xf>
    <xf numFmtId="179" fontId="5" fillId="0" borderId="13" xfId="0" applyNumberFormat="1" applyFont="1" applyFill="1" applyBorder="1" applyAlignment="1">
      <alignment horizontal="right" vertical="center"/>
    </xf>
    <xf numFmtId="179" fontId="5" fillId="0" borderId="14" xfId="0" applyNumberFormat="1" applyFont="1" applyFill="1" applyBorder="1" applyAlignment="1">
      <alignment horizontal="right" vertical="center"/>
    </xf>
    <xf numFmtId="179" fontId="20" fillId="0" borderId="12" xfId="0" applyNumberFormat="1" applyFont="1" applyBorder="1" applyAlignment="1">
      <alignment horizontal="right" vertical="center"/>
    </xf>
    <xf numFmtId="179" fontId="20" fillId="0" borderId="13" xfId="0" applyNumberFormat="1" applyFont="1" applyFill="1" applyBorder="1" applyAlignment="1">
      <alignment horizontal="right" vertical="center"/>
    </xf>
    <xf numFmtId="179" fontId="20" fillId="0" borderId="14" xfId="0" applyNumberFormat="1" applyFont="1" applyFill="1" applyBorder="1" applyAlignment="1">
      <alignment horizontal="right" vertical="center"/>
    </xf>
    <xf numFmtId="0" fontId="9" fillId="0" borderId="15" xfId="0" applyFont="1" applyBorder="1" applyAlignment="1" applyProtection="1">
      <alignment vertical="center"/>
      <protection locked="0"/>
    </xf>
    <xf numFmtId="0" fontId="11" fillId="4" borderId="15"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23" fillId="0" borderId="15" xfId="0" applyFont="1" applyBorder="1" applyAlignment="1" applyProtection="1">
      <alignment vertical="center" wrapText="1"/>
      <protection locked="0"/>
    </xf>
    <xf numFmtId="179" fontId="0" fillId="0" borderId="0" xfId="0" applyNumberFormat="1">
      <alignment vertical="center"/>
    </xf>
    <xf numFmtId="179" fontId="0" fillId="0" borderId="0" xfId="0" applyNumberFormat="1" applyAlignment="1">
      <alignment horizontal="center"/>
    </xf>
    <xf numFmtId="179" fontId="24" fillId="0" borderId="9" xfId="0" applyNumberFormat="1" applyFont="1" applyBorder="1" applyAlignment="1" applyProtection="1">
      <alignment vertical="center"/>
      <protection locked="0"/>
    </xf>
    <xf numFmtId="179" fontId="24" fillId="0" borderId="15" xfId="0" applyNumberFormat="1" applyFont="1" applyBorder="1" applyAlignment="1" applyProtection="1">
      <alignment vertical="center"/>
      <protection locked="0"/>
    </xf>
    <xf numFmtId="0" fontId="17" fillId="0" borderId="16" xfId="0" applyFont="1" applyBorder="1" applyAlignment="1">
      <alignment horizontal="right" vertical="center" indent="1"/>
    </xf>
    <xf numFmtId="0" fontId="17" fillId="0" borderId="17" xfId="0" applyFont="1" applyBorder="1" applyAlignment="1">
      <alignment horizontal="right" vertical="center" indent="1"/>
    </xf>
    <xf numFmtId="179" fontId="17" fillId="0" borderId="18" xfId="0" applyNumberFormat="1" applyFont="1" applyBorder="1" applyAlignment="1">
      <alignment horizontal="right" vertical="center" indent="1"/>
    </xf>
    <xf numFmtId="177" fontId="17" fillId="0" borderId="19" xfId="0" applyNumberFormat="1" applyFont="1" applyBorder="1" applyAlignment="1" applyProtection="1">
      <alignment vertical="center"/>
    </xf>
    <xf numFmtId="0" fontId="16" fillId="0" borderId="0" xfId="0" applyFont="1">
      <alignment vertical="center"/>
    </xf>
    <xf numFmtId="179" fontId="24" fillId="0" borderId="20" xfId="0" applyNumberFormat="1" applyFont="1" applyBorder="1" applyAlignment="1" applyProtection="1">
      <alignment vertical="center"/>
      <protection locked="0"/>
    </xf>
    <xf numFmtId="0" fontId="25" fillId="0" borderId="11" xfId="0" applyFont="1" applyBorder="1" applyAlignment="1">
      <alignment horizontal="center" vertical="center" shrinkToFit="1"/>
    </xf>
    <xf numFmtId="0" fontId="19" fillId="3" borderId="11" xfId="0" applyFont="1" applyFill="1" applyBorder="1" applyAlignment="1">
      <alignment horizontal="center" vertical="center" shrinkToFit="1"/>
    </xf>
    <xf numFmtId="0" fontId="11" fillId="4" borderId="21" xfId="0" applyFont="1" applyFill="1" applyBorder="1" applyAlignment="1" applyProtection="1">
      <alignment horizontal="center" vertical="center"/>
      <protection locked="0"/>
    </xf>
    <xf numFmtId="179" fontId="24" fillId="0" borderId="21" xfId="0" applyNumberFormat="1" applyFont="1" applyBorder="1" applyAlignment="1" applyProtection="1">
      <alignment vertical="center"/>
      <protection locked="0"/>
    </xf>
    <xf numFmtId="0" fontId="9" fillId="0" borderId="21" xfId="0" applyFont="1" applyBorder="1" applyAlignment="1" applyProtection="1">
      <alignment vertical="center"/>
      <protection locked="0"/>
    </xf>
    <xf numFmtId="179" fontId="17" fillId="0" borderId="22" xfId="0" applyNumberFormat="1" applyFont="1" applyBorder="1" applyAlignment="1">
      <alignment horizontal="right" vertical="center" indent="1"/>
    </xf>
    <xf numFmtId="177" fontId="17" fillId="0" borderId="23" xfId="0" applyNumberFormat="1" applyFont="1" applyBorder="1" applyAlignment="1" applyProtection="1">
      <alignment vertical="center"/>
    </xf>
    <xf numFmtId="0" fontId="11" fillId="0" borderId="21" xfId="0" applyFont="1" applyBorder="1" applyAlignment="1">
      <alignment horizontal="center" vertical="center"/>
    </xf>
    <xf numFmtId="0" fontId="28" fillId="0" borderId="0" xfId="0" applyFont="1">
      <alignment vertical="center"/>
    </xf>
    <xf numFmtId="0" fontId="29" fillId="0" borderId="0" xfId="0" applyFont="1">
      <alignment vertical="center"/>
    </xf>
    <xf numFmtId="0" fontId="28" fillId="0" borderId="0" xfId="1" applyFont="1">
      <alignment vertical="center"/>
    </xf>
    <xf numFmtId="0" fontId="9" fillId="0" borderId="0" xfId="0" applyFont="1" applyProtection="1">
      <alignment vertical="center"/>
    </xf>
    <xf numFmtId="0" fontId="16" fillId="0" borderId="11" xfId="0" applyFont="1" applyBorder="1" applyAlignment="1" applyProtection="1">
      <alignment horizontal="center" vertical="center"/>
    </xf>
    <xf numFmtId="0" fontId="22" fillId="5" borderId="24" xfId="0" applyFont="1" applyFill="1" applyBorder="1" applyAlignment="1" applyProtection="1">
      <alignment horizontal="center" vertical="center"/>
    </xf>
    <xf numFmtId="0" fontId="22" fillId="0" borderId="24" xfId="0" applyFont="1" applyBorder="1" applyAlignment="1" applyProtection="1">
      <alignment horizontal="center" vertical="center"/>
    </xf>
    <xf numFmtId="0" fontId="14" fillId="0" borderId="0" xfId="0" applyFont="1" applyProtection="1">
      <alignment vertical="center"/>
    </xf>
    <xf numFmtId="0" fontId="26" fillId="0" borderId="25" xfId="0" applyFont="1" applyBorder="1" applyAlignment="1" applyProtection="1">
      <alignment horizontal="center"/>
    </xf>
    <xf numFmtId="0" fontId="27" fillId="0" borderId="0" xfId="0" applyFont="1" applyProtection="1">
      <alignment vertical="center"/>
    </xf>
    <xf numFmtId="181" fontId="1" fillId="0" borderId="0" xfId="0" applyNumberFormat="1" applyFont="1">
      <alignment vertical="center"/>
    </xf>
    <xf numFmtId="181" fontId="0" fillId="0" borderId="0" xfId="0" applyNumberFormat="1">
      <alignment vertical="center"/>
    </xf>
    <xf numFmtId="181" fontId="18" fillId="0" borderId="0" xfId="0" applyNumberFormat="1" applyFont="1" applyAlignment="1">
      <alignment horizontal="center" vertical="center"/>
    </xf>
    <xf numFmtId="181" fontId="9" fillId="0" borderId="0" xfId="0" applyNumberFormat="1" applyFont="1">
      <alignment vertical="center"/>
    </xf>
    <xf numFmtId="181" fontId="28" fillId="0" borderId="0" xfId="1" applyNumberFormat="1" applyFont="1">
      <alignment vertical="center"/>
    </xf>
    <xf numFmtId="181" fontId="28" fillId="0" borderId="0" xfId="0" applyNumberFormat="1" applyFont="1">
      <alignment vertical="center"/>
    </xf>
    <xf numFmtId="180" fontId="24" fillId="0" borderId="20" xfId="0" applyNumberFormat="1" applyFont="1" applyBorder="1" applyAlignment="1" applyProtection="1">
      <alignment vertical="center" shrinkToFit="1"/>
      <protection locked="0"/>
    </xf>
    <xf numFmtId="0" fontId="12" fillId="0" borderId="15" xfId="0" applyFont="1" applyBorder="1" applyAlignment="1" applyProtection="1">
      <alignment vertical="center" wrapText="1"/>
      <protection locked="0"/>
    </xf>
    <xf numFmtId="179" fontId="2" fillId="0" borderId="0" xfId="1" applyNumberFormat="1">
      <alignment vertical="center"/>
    </xf>
    <xf numFmtId="179" fontId="2" fillId="0" borderId="0" xfId="1" applyNumberFormat="1" applyFont="1">
      <alignment vertical="center"/>
    </xf>
    <xf numFmtId="0" fontId="1" fillId="0" borderId="0" xfId="0" applyFont="1">
      <alignment vertical="center"/>
    </xf>
    <xf numFmtId="179" fontId="17" fillId="0" borderId="18" xfId="0" quotePrefix="1" applyNumberFormat="1" applyFont="1" applyBorder="1" applyAlignment="1">
      <alignment horizontal="right" vertical="center" indent="1"/>
    </xf>
    <xf numFmtId="0" fontId="11" fillId="0" borderId="17" xfId="0" applyFont="1" applyBorder="1" applyAlignment="1">
      <alignment horizontal="center" vertical="center"/>
    </xf>
    <xf numFmtId="0" fontId="17" fillId="0" borderId="16" xfId="0" quotePrefix="1" applyNumberFormat="1" applyFont="1" applyBorder="1" applyAlignment="1">
      <alignment horizontal="right" vertical="center" indent="1"/>
    </xf>
    <xf numFmtId="0" fontId="11" fillId="4" borderId="15" xfId="0" applyFont="1" applyFill="1" applyBorder="1" applyAlignment="1" applyProtection="1">
      <alignment horizontal="center" vertical="center" wrapText="1"/>
      <protection locked="0"/>
    </xf>
    <xf numFmtId="0" fontId="0" fillId="3" borderId="26" xfId="0" applyFill="1" applyBorder="1" applyAlignment="1">
      <alignment horizontal="center" vertical="center" wrapText="1"/>
    </xf>
    <xf numFmtId="0" fontId="0" fillId="3" borderId="27" xfId="0" applyFill="1" applyBorder="1" applyAlignment="1">
      <alignment horizontal="center" vertical="center" wrapText="1"/>
    </xf>
    <xf numFmtId="0" fontId="5" fillId="3" borderId="28" xfId="0" applyFont="1" applyFill="1" applyBorder="1" applyAlignment="1">
      <alignment horizontal="center" vertical="center" wrapText="1"/>
    </xf>
    <xf numFmtId="0" fontId="4" fillId="3" borderId="28" xfId="0" applyFont="1" applyFill="1" applyBorder="1" applyAlignment="1">
      <alignment horizontal="center" vertical="center" wrapText="1"/>
    </xf>
    <xf numFmtId="179" fontId="20" fillId="0" borderId="29" xfId="0" applyNumberFormat="1" applyFont="1" applyFill="1" applyBorder="1" applyAlignment="1">
      <alignment horizontal="right" vertical="center"/>
    </xf>
    <xf numFmtId="0" fontId="4" fillId="0" borderId="30" xfId="0" applyFont="1" applyFill="1" applyBorder="1" applyAlignment="1">
      <alignment horizontal="right" vertical="center"/>
    </xf>
    <xf numFmtId="179" fontId="5" fillId="0" borderId="29" xfId="0" applyNumberFormat="1" applyFont="1" applyFill="1" applyBorder="1" applyAlignment="1">
      <alignment horizontal="right" vertical="center"/>
    </xf>
    <xf numFmtId="179" fontId="20" fillId="0" borderId="1" xfId="0" applyNumberFormat="1" applyFont="1" applyBorder="1" applyAlignment="1">
      <alignment horizontal="right" vertical="center"/>
    </xf>
    <xf numFmtId="0" fontId="4" fillId="0" borderId="31" xfId="0" applyFont="1" applyBorder="1" applyAlignment="1">
      <alignment horizontal="right" vertical="center"/>
    </xf>
    <xf numFmtId="179" fontId="5" fillId="0" borderId="1" xfId="0" applyNumberFormat="1" applyFont="1" applyBorder="1" applyAlignment="1">
      <alignment horizontal="right" vertical="center"/>
    </xf>
    <xf numFmtId="0" fontId="22" fillId="0" borderId="32" xfId="0" applyFont="1" applyBorder="1" applyAlignment="1" applyProtection="1">
      <alignment horizontal="center" vertical="center"/>
    </xf>
    <xf numFmtId="0" fontId="17" fillId="0" borderId="33" xfId="0" applyFont="1" applyBorder="1" applyAlignment="1">
      <alignment horizontal="right" vertical="center" indent="1"/>
    </xf>
    <xf numFmtId="0" fontId="17" fillId="0" borderId="34" xfId="0" applyFont="1" applyBorder="1" applyAlignment="1">
      <alignment horizontal="right" vertical="center" indent="1"/>
    </xf>
    <xf numFmtId="181" fontId="24" fillId="0" borderId="20" xfId="0" applyNumberFormat="1" applyFont="1" applyBorder="1" applyAlignment="1">
      <alignment vertical="center"/>
    </xf>
    <xf numFmtId="181" fontId="17" fillId="0" borderId="20" xfId="0" applyNumberFormat="1" applyFont="1" applyBorder="1" applyAlignment="1">
      <alignment vertical="center"/>
    </xf>
    <xf numFmtId="177" fontId="16" fillId="4" borderId="25" xfId="0" applyNumberFormat="1" applyFont="1" applyFill="1" applyBorder="1">
      <alignment vertical="center"/>
    </xf>
    <xf numFmtId="0" fontId="8" fillId="0" borderId="40" xfId="0" applyFont="1" applyBorder="1" applyAlignment="1">
      <alignment horizontal="center" vertical="center"/>
    </xf>
    <xf numFmtId="0" fontId="0" fillId="3" borderId="35" xfId="0" applyFill="1" applyBorder="1" applyAlignment="1">
      <alignment vertical="center" wrapText="1"/>
    </xf>
    <xf numFmtId="0" fontId="0" fillId="3" borderId="39" xfId="0" applyFill="1" applyBorder="1" applyAlignment="1">
      <alignment vertical="center" wrapText="1"/>
    </xf>
    <xf numFmtId="0" fontId="0" fillId="3" borderId="36" xfId="0" applyFill="1" applyBorder="1" applyAlignment="1">
      <alignment vertical="center" wrapText="1"/>
    </xf>
    <xf numFmtId="0" fontId="0" fillId="3" borderId="45" xfId="0" applyFill="1" applyBorder="1" applyAlignment="1">
      <alignment vertical="center" wrapText="1"/>
    </xf>
    <xf numFmtId="0" fontId="0" fillId="3" borderId="0" xfId="0" applyFill="1" applyBorder="1" applyAlignment="1">
      <alignment vertical="center" wrapText="1"/>
    </xf>
    <xf numFmtId="0" fontId="0" fillId="3" borderId="46" xfId="0" applyFill="1" applyBorder="1" applyAlignment="1">
      <alignment vertical="center" wrapText="1"/>
    </xf>
    <xf numFmtId="0" fontId="0" fillId="3" borderId="37" xfId="0" applyFill="1" applyBorder="1" applyAlignment="1">
      <alignment vertical="center" wrapText="1"/>
    </xf>
    <xf numFmtId="0" fontId="0" fillId="3" borderId="40" xfId="0" applyFill="1" applyBorder="1" applyAlignment="1">
      <alignment vertical="center" wrapText="1"/>
    </xf>
    <xf numFmtId="0" fontId="0" fillId="3" borderId="38" xfId="0" applyFill="1" applyBorder="1" applyAlignment="1">
      <alignment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44" xfId="0" applyFill="1" applyBorder="1" applyAlignment="1">
      <alignment horizontal="center" vertical="center" wrapText="1"/>
    </xf>
    <xf numFmtId="0" fontId="4" fillId="3" borderId="11" xfId="0" applyFont="1" applyFill="1" applyBorder="1" applyAlignment="1">
      <alignment horizontal="distributed" vertical="center" wrapText="1" shrinkToFit="1"/>
    </xf>
    <xf numFmtId="0" fontId="4" fillId="3" borderId="11" xfId="0" applyFont="1" applyFill="1" applyBorder="1" applyAlignment="1">
      <alignment horizontal="distributed" vertical="center" shrinkToFit="1"/>
    </xf>
    <xf numFmtId="0" fontId="0" fillId="0" borderId="37" xfId="0" applyBorder="1" applyAlignment="1">
      <alignment horizontal="center" vertical="center"/>
    </xf>
    <xf numFmtId="0" fontId="0" fillId="0" borderId="38" xfId="0" applyBorder="1" applyAlignment="1">
      <alignment horizontal="center" vertical="center"/>
    </xf>
    <xf numFmtId="0" fontId="7" fillId="0" borderId="1" xfId="0" applyFont="1" applyBorder="1" applyAlignment="1">
      <alignment horizontal="center" vertical="center"/>
    </xf>
    <xf numFmtId="0" fontId="7" fillId="0" borderId="31" xfId="0" applyFont="1" applyBorder="1" applyAlignment="1">
      <alignment horizontal="center" vertical="center"/>
    </xf>
    <xf numFmtId="0" fontId="0" fillId="6" borderId="1" xfId="0" applyFill="1" applyBorder="1" applyAlignment="1">
      <alignment horizontal="distributed" vertical="center" indent="1"/>
    </xf>
    <xf numFmtId="0" fontId="0" fillId="6" borderId="31" xfId="0" applyFill="1" applyBorder="1" applyAlignment="1">
      <alignment horizontal="distributed" vertical="center" indent="1"/>
    </xf>
    <xf numFmtId="0" fontId="0" fillId="6" borderId="11" xfId="0" applyFill="1" applyBorder="1" applyAlignment="1">
      <alignment horizontal="distributed" vertical="center" indent="2"/>
    </xf>
    <xf numFmtId="0" fontId="0" fillId="3" borderId="11" xfId="0" applyFill="1" applyBorder="1" applyAlignment="1">
      <alignment horizontal="distributed" vertical="center" shrinkToFi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7" fillId="0" borderId="37" xfId="0" applyFont="1" applyBorder="1" applyAlignment="1">
      <alignment vertical="center"/>
    </xf>
    <xf numFmtId="0" fontId="7" fillId="0" borderId="38" xfId="0" applyFont="1" applyBorder="1" applyAlignment="1">
      <alignment vertical="center"/>
    </xf>
    <xf numFmtId="0" fontId="0" fillId="2" borderId="42" xfId="0" applyFill="1" applyBorder="1" applyAlignment="1">
      <alignment horizontal="center" vertical="center" wrapText="1"/>
    </xf>
    <xf numFmtId="0" fontId="0" fillId="2" borderId="43" xfId="0" applyFill="1" applyBorder="1" applyAlignment="1">
      <alignment horizontal="center" vertical="center" wrapText="1"/>
    </xf>
    <xf numFmtId="0" fontId="0" fillId="2" borderId="44" xfId="0" applyFill="1" applyBorder="1" applyAlignment="1">
      <alignment horizontal="center" vertical="center" wrapText="1"/>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11" xfId="0" applyFill="1" applyBorder="1" applyAlignment="1">
      <alignment vertical="center" shrinkToFit="1"/>
    </xf>
    <xf numFmtId="0" fontId="0" fillId="6" borderId="35" xfId="0" applyFill="1" applyBorder="1" applyAlignment="1">
      <alignment horizontal="distributed" vertical="center" indent="1"/>
    </xf>
    <xf numFmtId="0" fontId="0" fillId="0" borderId="36" xfId="0" applyBorder="1" applyAlignment="1">
      <alignment horizontal="distributed" vertical="center" indent="1"/>
    </xf>
    <xf numFmtId="0" fontId="0" fillId="6" borderId="37" xfId="0" applyFill="1" applyBorder="1" applyAlignment="1">
      <alignment horizontal="distributed" vertical="center" indent="1"/>
    </xf>
    <xf numFmtId="0" fontId="0" fillId="0" borderId="38" xfId="0" applyBorder="1" applyAlignment="1">
      <alignment horizontal="distributed" vertical="center" indent="1"/>
    </xf>
    <xf numFmtId="0" fontId="7" fillId="0" borderId="1" xfId="0" applyFont="1" applyBorder="1" applyAlignment="1">
      <alignment vertical="center" shrinkToFit="1"/>
    </xf>
    <xf numFmtId="0" fontId="7" fillId="0" borderId="31" xfId="0" applyFont="1" applyBorder="1" applyAlignment="1">
      <alignment vertical="center" shrinkToFit="1"/>
    </xf>
    <xf numFmtId="0" fontId="0" fillId="6" borderId="35" xfId="0" applyFill="1" applyBorder="1" applyAlignment="1">
      <alignment horizontal="center" vertical="center" wrapText="1"/>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30" fillId="0" borderId="35" xfId="0" applyFont="1" applyBorder="1" applyAlignment="1">
      <alignment horizontal="center" vertical="center"/>
    </xf>
    <xf numFmtId="0" fontId="30" fillId="0" borderId="39" xfId="0" applyFont="1" applyBorder="1" applyAlignment="1">
      <alignment horizontal="center" vertical="center"/>
    </xf>
    <xf numFmtId="0" fontId="30" fillId="0" borderId="36" xfId="0" applyFont="1" applyBorder="1" applyAlignment="1">
      <alignment horizontal="center" vertical="center"/>
    </xf>
    <xf numFmtId="0" fontId="30" fillId="0" borderId="37" xfId="0" applyFont="1" applyBorder="1" applyAlignment="1">
      <alignment horizontal="center" vertical="center"/>
    </xf>
    <xf numFmtId="0" fontId="30" fillId="0" borderId="40" xfId="0" applyFont="1" applyBorder="1" applyAlignment="1">
      <alignment horizontal="center" vertical="center"/>
    </xf>
    <xf numFmtId="0" fontId="30" fillId="0" borderId="38" xfId="0" applyFont="1" applyBorder="1" applyAlignment="1">
      <alignment horizontal="center" vertical="center"/>
    </xf>
    <xf numFmtId="0" fontId="6" fillId="6" borderId="1" xfId="0" applyFont="1" applyFill="1" applyBorder="1" applyAlignment="1">
      <alignment horizontal="distributed" vertical="center" indent="4"/>
    </xf>
    <xf numFmtId="0" fontId="6" fillId="6" borderId="41" xfId="0" applyFont="1" applyFill="1" applyBorder="1" applyAlignment="1">
      <alignment horizontal="distributed" vertical="center" indent="4"/>
    </xf>
    <xf numFmtId="0" fontId="0" fillId="0" borderId="31" xfId="0" applyBorder="1" applyAlignment="1">
      <alignment horizontal="distributed" vertical="center"/>
    </xf>
    <xf numFmtId="0" fontId="0" fillId="6" borderId="1" xfId="0" applyFill="1" applyBorder="1" applyAlignment="1">
      <alignment horizontal="distributed" vertical="center" indent="2"/>
    </xf>
    <xf numFmtId="0" fontId="0" fillId="6" borderId="41" xfId="0" applyFill="1" applyBorder="1" applyAlignment="1">
      <alignment horizontal="distributed" vertical="center" indent="2"/>
    </xf>
    <xf numFmtId="0" fontId="0" fillId="6" borderId="41" xfId="0" applyFill="1" applyBorder="1" applyAlignment="1">
      <alignment horizontal="distributed" vertical="center" indent="1"/>
    </xf>
    <xf numFmtId="0" fontId="0" fillId="0" borderId="31" xfId="0" applyBorder="1" applyAlignment="1">
      <alignment horizontal="distributed" vertical="center" indent="1"/>
    </xf>
    <xf numFmtId="0" fontId="13" fillId="4" borderId="21" xfId="0" applyFont="1" applyFill="1" applyBorder="1" applyAlignment="1">
      <alignment horizontal="distributed" vertical="center" wrapText="1"/>
    </xf>
    <xf numFmtId="0" fontId="13" fillId="4" borderId="21" xfId="0" applyFont="1" applyFill="1" applyBorder="1" applyAlignment="1">
      <alignment horizontal="distributed" vertical="center"/>
    </xf>
    <xf numFmtId="179" fontId="17" fillId="0" borderId="63" xfId="0" applyNumberFormat="1" applyFont="1" applyBorder="1" applyAlignment="1" applyProtection="1">
      <alignment horizontal="right" vertical="center" indent="1"/>
      <protection locked="0"/>
    </xf>
    <xf numFmtId="179" fontId="17" fillId="0" borderId="64" xfId="0" applyNumberFormat="1" applyFont="1" applyBorder="1" applyAlignment="1">
      <alignment horizontal="right" vertical="center" indent="1"/>
    </xf>
    <xf numFmtId="0" fontId="17" fillId="0" borderId="65" xfId="0" applyFont="1" applyBorder="1" applyAlignment="1">
      <alignment horizontal="distributed" vertical="center" indent="6"/>
    </xf>
    <xf numFmtId="0" fontId="17" fillId="0" borderId="66" xfId="0" applyFont="1" applyBorder="1" applyAlignment="1">
      <alignment horizontal="distributed" vertical="center" indent="6"/>
    </xf>
    <xf numFmtId="0" fontId="17" fillId="0" borderId="67" xfId="0" applyFont="1" applyBorder="1" applyAlignment="1">
      <alignment horizontal="distributed" vertical="center" indent="6"/>
    </xf>
    <xf numFmtId="177" fontId="17" fillId="0" borderId="68" xfId="0" applyNumberFormat="1" applyFont="1" applyBorder="1" applyAlignment="1" applyProtection="1">
      <alignment vertical="center"/>
    </xf>
    <xf numFmtId="0" fontId="17" fillId="0" borderId="69" xfId="0" applyFont="1" applyBorder="1" applyAlignment="1">
      <alignment vertical="center"/>
    </xf>
    <xf numFmtId="0" fontId="11" fillId="4" borderId="21" xfId="0" applyFont="1" applyFill="1" applyBorder="1" applyAlignment="1" applyProtection="1">
      <alignment horizontal="center" vertical="center"/>
      <protection locked="0"/>
    </xf>
    <xf numFmtId="0" fontId="0" fillId="4" borderId="47" xfId="0" applyFill="1" applyBorder="1" applyAlignment="1">
      <alignment horizontal="center" vertical="center"/>
    </xf>
    <xf numFmtId="0" fontId="0" fillId="4" borderId="9" xfId="0" applyFill="1" applyBorder="1" applyAlignment="1">
      <alignment horizontal="center" vertical="center"/>
    </xf>
    <xf numFmtId="0" fontId="13" fillId="4" borderId="20" xfId="0" applyFont="1" applyFill="1" applyBorder="1" applyAlignment="1">
      <alignment horizontal="distributed" vertical="center"/>
    </xf>
    <xf numFmtId="0" fontId="13" fillId="4" borderId="17" xfId="0" applyFont="1" applyFill="1" applyBorder="1" applyAlignment="1">
      <alignment horizontal="distributed" vertical="center"/>
    </xf>
    <xf numFmtId="0" fontId="11" fillId="0" borderId="21" xfId="0" applyFont="1" applyBorder="1" applyAlignment="1">
      <alignment horizontal="center" vertical="center"/>
    </xf>
    <xf numFmtId="0" fontId="0" fillId="0" borderId="47" xfId="0" applyBorder="1" applyAlignment="1">
      <alignment horizontal="center" vertical="center"/>
    </xf>
    <xf numFmtId="0" fontId="0" fillId="0" borderId="9" xfId="0" applyBorder="1" applyAlignment="1">
      <alignment horizontal="center" vertical="center"/>
    </xf>
    <xf numFmtId="179" fontId="17" fillId="0" borderId="22" xfId="0" applyNumberFormat="1" applyFont="1" applyBorder="1" applyAlignment="1">
      <alignment horizontal="right" vertical="center" indent="1"/>
    </xf>
    <xf numFmtId="0" fontId="0" fillId="0" borderId="70" xfId="0" applyBorder="1" applyAlignment="1">
      <alignment horizontal="right" vertical="center" indent="1"/>
    </xf>
    <xf numFmtId="0" fontId="0" fillId="0" borderId="71" xfId="0" applyBorder="1" applyAlignment="1">
      <alignment horizontal="right" vertical="center" indent="1"/>
    </xf>
    <xf numFmtId="0" fontId="11" fillId="4" borderId="15" xfId="0" applyFont="1" applyFill="1" applyBorder="1" applyAlignment="1">
      <alignment vertical="center" shrinkToFit="1"/>
    </xf>
    <xf numFmtId="0" fontId="11" fillId="4" borderId="15" xfId="0" applyFont="1" applyFill="1" applyBorder="1" applyAlignment="1">
      <alignment vertical="center"/>
    </xf>
    <xf numFmtId="0" fontId="13" fillId="4" borderId="20" xfId="0" applyFont="1" applyFill="1" applyBorder="1" applyAlignment="1">
      <alignment vertical="center" wrapText="1"/>
    </xf>
    <xf numFmtId="0" fontId="4" fillId="0" borderId="17" xfId="0" applyFont="1" applyBorder="1" applyAlignment="1">
      <alignment vertical="center" wrapText="1"/>
    </xf>
    <xf numFmtId="0" fontId="22" fillId="5" borderId="56" xfId="0" applyFont="1" applyFill="1" applyBorder="1" applyAlignment="1" applyProtection="1">
      <alignment horizontal="center" vertical="center"/>
    </xf>
    <xf numFmtId="0" fontId="0" fillId="5" borderId="57" xfId="0" applyFill="1" applyBorder="1" applyAlignment="1">
      <alignment horizontal="center" vertical="center"/>
    </xf>
    <xf numFmtId="0" fontId="0" fillId="0" borderId="58" xfId="0" applyBorder="1" applyAlignment="1">
      <alignment horizontal="center" vertical="center"/>
    </xf>
    <xf numFmtId="177" fontId="17" fillId="0" borderId="23" xfId="0" applyNumberFormat="1" applyFont="1" applyBorder="1" applyAlignment="1" applyProtection="1">
      <alignment vertical="center"/>
    </xf>
    <xf numFmtId="0" fontId="0" fillId="0" borderId="59" xfId="0" applyBorder="1" applyAlignment="1">
      <alignment vertical="center"/>
    </xf>
    <xf numFmtId="0" fontId="0" fillId="0" borderId="60" xfId="0" applyBorder="1" applyAlignment="1">
      <alignment vertical="center"/>
    </xf>
    <xf numFmtId="0" fontId="19" fillId="3" borderId="11" xfId="0" applyFont="1" applyFill="1" applyBorder="1" applyAlignment="1">
      <alignment horizontal="center" vertical="center"/>
    </xf>
    <xf numFmtId="0" fontId="0" fillId="3" borderId="11" xfId="0" applyFill="1" applyBorder="1" applyAlignment="1">
      <alignment vertical="center"/>
    </xf>
    <xf numFmtId="0" fontId="11" fillId="3" borderId="61" xfId="0" applyFont="1" applyFill="1" applyBorder="1" applyAlignment="1">
      <alignment horizontal="center" vertical="center"/>
    </xf>
    <xf numFmtId="0" fontId="11" fillId="3" borderId="62" xfId="0" applyFont="1" applyFill="1" applyBorder="1" applyAlignment="1">
      <alignment horizontal="center" vertical="center"/>
    </xf>
    <xf numFmtId="0" fontId="13" fillId="4" borderId="15" xfId="0" applyFont="1" applyFill="1" applyBorder="1" applyAlignment="1">
      <alignment horizontal="distributed" vertical="center"/>
    </xf>
    <xf numFmtId="0" fontId="17" fillId="0" borderId="20" xfId="0" applyNumberFormat="1" applyFont="1" applyBorder="1" applyAlignment="1" applyProtection="1">
      <alignment horizontal="right" vertical="center" indent="1"/>
      <protection locked="0"/>
    </xf>
    <xf numFmtId="0" fontId="17" fillId="0" borderId="17" xfId="0" applyNumberFormat="1" applyFont="1" applyBorder="1" applyAlignment="1">
      <alignment horizontal="right" vertical="center" indent="1"/>
    </xf>
    <xf numFmtId="0" fontId="13" fillId="4" borderId="15" xfId="0" applyFont="1" applyFill="1" applyBorder="1" applyAlignment="1" applyProtection="1">
      <alignment horizontal="distributed" vertical="center" shrinkToFit="1"/>
      <protection locked="0"/>
    </xf>
    <xf numFmtId="0" fontId="13" fillId="4" borderId="15" xfId="0" applyFont="1" applyFill="1" applyBorder="1" applyAlignment="1">
      <alignment horizontal="distributed" vertical="center" shrinkToFit="1"/>
    </xf>
    <xf numFmtId="177" fontId="17" fillId="0" borderId="19" xfId="0" applyNumberFormat="1" applyFont="1" applyBorder="1" applyAlignment="1" applyProtection="1">
      <alignment vertical="center"/>
    </xf>
    <xf numFmtId="0" fontId="17" fillId="0" borderId="19" xfId="0" applyFont="1" applyBorder="1" applyAlignment="1">
      <alignment vertical="center"/>
    </xf>
    <xf numFmtId="0" fontId="13" fillId="4" borderId="15" xfId="0" applyFont="1" applyFill="1" applyBorder="1" applyAlignment="1">
      <alignment horizontal="distributed" vertical="center" wrapText="1"/>
    </xf>
    <xf numFmtId="0" fontId="11" fillId="4" borderId="21" xfId="0" applyFont="1" applyFill="1" applyBorder="1" applyAlignment="1" applyProtection="1">
      <alignment horizontal="center" vertical="center" shrinkToFit="1"/>
      <protection locked="0"/>
    </xf>
    <xf numFmtId="0" fontId="11" fillId="4" borderId="47" xfId="0" applyFont="1" applyFill="1" applyBorder="1" applyAlignment="1">
      <alignment vertical="center"/>
    </xf>
    <xf numFmtId="0" fontId="11" fillId="4" borderId="9" xfId="0" applyFont="1" applyFill="1" applyBorder="1" applyAlignment="1">
      <alignment vertical="center"/>
    </xf>
    <xf numFmtId="0" fontId="22" fillId="5" borderId="48" xfId="0" applyFont="1" applyFill="1" applyBorder="1" applyAlignment="1" applyProtection="1">
      <alignment horizontal="center" vertical="center"/>
    </xf>
    <xf numFmtId="0" fontId="11" fillId="0" borderId="15" xfId="0" applyFont="1" applyBorder="1" applyAlignment="1">
      <alignment horizontal="center" vertical="center"/>
    </xf>
    <xf numFmtId="179" fontId="17" fillId="0" borderId="18" xfId="0" applyNumberFormat="1" applyFont="1" applyBorder="1" applyAlignment="1">
      <alignment horizontal="right" vertical="center" indent="1"/>
    </xf>
    <xf numFmtId="0" fontId="12" fillId="3" borderId="49" xfId="0" applyFont="1" applyFill="1" applyBorder="1" applyAlignment="1" applyProtection="1">
      <alignment horizontal="center" vertical="center" wrapText="1"/>
    </xf>
    <xf numFmtId="0" fontId="11" fillId="3" borderId="50" xfId="0" applyFont="1" applyFill="1" applyBorder="1" applyAlignment="1"/>
    <xf numFmtId="0" fontId="11" fillId="3" borderId="51" xfId="0" applyFont="1" applyFill="1" applyBorder="1" applyAlignment="1" applyProtection="1"/>
    <xf numFmtId="0" fontId="11" fillId="3" borderId="52" xfId="0" applyFont="1" applyFill="1" applyBorder="1" applyAlignment="1"/>
    <xf numFmtId="0" fontId="13" fillId="4" borderId="9" xfId="0" applyFont="1" applyFill="1" applyBorder="1" applyAlignment="1" applyProtection="1">
      <alignment horizontal="distributed" vertical="center" shrinkToFit="1"/>
      <protection locked="0"/>
    </xf>
    <xf numFmtId="0" fontId="13" fillId="4" borderId="9" xfId="0" applyFont="1" applyFill="1" applyBorder="1" applyAlignment="1">
      <alignment horizontal="distributed" vertical="center" shrinkToFit="1"/>
    </xf>
    <xf numFmtId="0" fontId="11" fillId="3" borderId="21" xfId="0" applyFont="1" applyFill="1" applyBorder="1" applyAlignment="1">
      <alignment horizontal="center" vertical="center"/>
    </xf>
    <xf numFmtId="0" fontId="11" fillId="3" borderId="9" xfId="0" applyFont="1" applyFill="1" applyBorder="1" applyAlignment="1"/>
    <xf numFmtId="0" fontId="11" fillId="3" borderId="33" xfId="0" applyFont="1" applyFill="1" applyBorder="1" applyAlignment="1">
      <alignment horizontal="left" vertical="center" wrapText="1"/>
    </xf>
    <xf numFmtId="0" fontId="11" fillId="3" borderId="53" xfId="0" applyFont="1" applyFill="1" applyBorder="1" applyAlignment="1">
      <alignment horizontal="left"/>
    </xf>
    <xf numFmtId="0" fontId="11" fillId="3" borderId="34" xfId="0" applyFont="1" applyFill="1" applyBorder="1" applyAlignment="1">
      <alignment horizontal="left"/>
    </xf>
    <xf numFmtId="0" fontId="11" fillId="3" borderId="10" xfId="0" applyFont="1" applyFill="1" applyBorder="1" applyAlignment="1">
      <alignment horizontal="left"/>
    </xf>
    <xf numFmtId="0" fontId="11" fillId="3" borderId="54" xfId="0" applyFont="1" applyFill="1" applyBorder="1" applyAlignment="1">
      <alignment horizontal="left"/>
    </xf>
    <xf numFmtId="0" fontId="11" fillId="3" borderId="55" xfId="0" applyFont="1" applyFill="1" applyBorder="1" applyAlignment="1">
      <alignment horizontal="left"/>
    </xf>
    <xf numFmtId="0" fontId="11" fillId="3" borderId="21" xfId="0" applyFont="1" applyFill="1" applyBorder="1" applyAlignment="1">
      <alignment horizontal="center" vertical="center" wrapText="1"/>
    </xf>
    <xf numFmtId="0" fontId="12" fillId="3" borderId="33" xfId="0" applyFont="1" applyFill="1" applyBorder="1" applyAlignment="1">
      <alignment horizontal="center" vertical="center"/>
    </xf>
    <xf numFmtId="0" fontId="12" fillId="3" borderId="34" xfId="0" applyFont="1" applyFill="1" applyBorder="1" applyAlignment="1"/>
    <xf numFmtId="0" fontId="12" fillId="3" borderId="10" xfId="0" applyFont="1" applyFill="1" applyBorder="1" applyAlignment="1"/>
    <xf numFmtId="0" fontId="12" fillId="3" borderId="55" xfId="0" applyFont="1" applyFill="1" applyBorder="1" applyAlignment="1"/>
  </cellXfs>
  <cellStyles count="2">
    <cellStyle name="標準" xfId="0" builtinId="0"/>
    <cellStyle name="標準_A"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333375</xdr:colOff>
      <xdr:row>4</xdr:row>
      <xdr:rowOff>85725</xdr:rowOff>
    </xdr:from>
    <xdr:to>
      <xdr:col>17</xdr:col>
      <xdr:colOff>666750</xdr:colOff>
      <xdr:row>5</xdr:row>
      <xdr:rowOff>9525</xdr:rowOff>
    </xdr:to>
    <xdr:sp macro="" textlink="">
      <xdr:nvSpPr>
        <xdr:cNvPr id="2081" name="Rectangle 1"/>
        <xdr:cNvSpPr>
          <a:spLocks noChangeArrowheads="1"/>
        </xdr:cNvSpPr>
      </xdr:nvSpPr>
      <xdr:spPr bwMode="auto">
        <a:xfrm>
          <a:off x="11630025" y="1343025"/>
          <a:ext cx="3333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333375</xdr:colOff>
      <xdr:row>5</xdr:row>
      <xdr:rowOff>85725</xdr:rowOff>
    </xdr:from>
    <xdr:to>
      <xdr:col>17</xdr:col>
      <xdr:colOff>666750</xdr:colOff>
      <xdr:row>6</xdr:row>
      <xdr:rowOff>9525</xdr:rowOff>
    </xdr:to>
    <xdr:sp macro="" textlink="">
      <xdr:nvSpPr>
        <xdr:cNvPr id="2082" name="Rectangle 2"/>
        <xdr:cNvSpPr>
          <a:spLocks noChangeArrowheads="1"/>
        </xdr:cNvSpPr>
      </xdr:nvSpPr>
      <xdr:spPr bwMode="auto">
        <a:xfrm>
          <a:off x="11630025" y="1590675"/>
          <a:ext cx="3333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333375</xdr:colOff>
      <xdr:row>6</xdr:row>
      <xdr:rowOff>85725</xdr:rowOff>
    </xdr:from>
    <xdr:to>
      <xdr:col>17</xdr:col>
      <xdr:colOff>666750</xdr:colOff>
      <xdr:row>8</xdr:row>
      <xdr:rowOff>9525</xdr:rowOff>
    </xdr:to>
    <xdr:sp macro="" textlink="">
      <xdr:nvSpPr>
        <xdr:cNvPr id="2083" name="Rectangle 3"/>
        <xdr:cNvSpPr>
          <a:spLocks noChangeArrowheads="1"/>
        </xdr:cNvSpPr>
      </xdr:nvSpPr>
      <xdr:spPr bwMode="auto">
        <a:xfrm>
          <a:off x="11630025" y="1847850"/>
          <a:ext cx="33337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17</xdr:col>
      <xdr:colOff>333375</xdr:colOff>
      <xdr:row>8</xdr:row>
      <xdr:rowOff>85725</xdr:rowOff>
    </xdr:from>
    <xdr:to>
      <xdr:col>17</xdr:col>
      <xdr:colOff>666750</xdr:colOff>
      <xdr:row>11</xdr:row>
      <xdr:rowOff>9525</xdr:rowOff>
    </xdr:to>
    <xdr:sp macro="" textlink="">
      <xdr:nvSpPr>
        <xdr:cNvPr id="2084" name="Rectangle 4"/>
        <xdr:cNvSpPr>
          <a:spLocks noChangeArrowheads="1"/>
        </xdr:cNvSpPr>
      </xdr:nvSpPr>
      <xdr:spPr bwMode="auto">
        <a:xfrm>
          <a:off x="11630025" y="2362200"/>
          <a:ext cx="333375" cy="695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133350</xdr:colOff>
      <xdr:row>6</xdr:row>
      <xdr:rowOff>190500</xdr:rowOff>
    </xdr:from>
    <xdr:to>
      <xdr:col>5</xdr:col>
      <xdr:colOff>2238375</xdr:colOff>
      <xdr:row>6</xdr:row>
      <xdr:rowOff>428625</xdr:rowOff>
    </xdr:to>
    <xdr:sp macro="" textlink="">
      <xdr:nvSpPr>
        <xdr:cNvPr id="3128" name="AutoShape 1"/>
        <xdr:cNvSpPr>
          <a:spLocks noChangeArrowheads="1"/>
        </xdr:cNvSpPr>
      </xdr:nvSpPr>
      <xdr:spPr bwMode="auto">
        <a:xfrm>
          <a:off x="3952875" y="16859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10</xdr:row>
      <xdr:rowOff>190500</xdr:rowOff>
    </xdr:from>
    <xdr:to>
      <xdr:col>5</xdr:col>
      <xdr:colOff>2238375</xdr:colOff>
      <xdr:row>10</xdr:row>
      <xdr:rowOff>428625</xdr:rowOff>
    </xdr:to>
    <xdr:sp macro="" textlink="">
      <xdr:nvSpPr>
        <xdr:cNvPr id="3129" name="AutoShape 3"/>
        <xdr:cNvSpPr>
          <a:spLocks noChangeArrowheads="1"/>
        </xdr:cNvSpPr>
      </xdr:nvSpPr>
      <xdr:spPr bwMode="auto">
        <a:xfrm>
          <a:off x="3952875" y="37433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6</xdr:row>
      <xdr:rowOff>190500</xdr:rowOff>
    </xdr:from>
    <xdr:to>
      <xdr:col>5</xdr:col>
      <xdr:colOff>2238375</xdr:colOff>
      <xdr:row>6</xdr:row>
      <xdr:rowOff>428625</xdr:rowOff>
    </xdr:to>
    <xdr:sp macro="" textlink="">
      <xdr:nvSpPr>
        <xdr:cNvPr id="3130" name="AutoShape 5"/>
        <xdr:cNvSpPr>
          <a:spLocks noChangeArrowheads="1"/>
        </xdr:cNvSpPr>
      </xdr:nvSpPr>
      <xdr:spPr bwMode="auto">
        <a:xfrm>
          <a:off x="3952875" y="16859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10</xdr:row>
      <xdr:rowOff>190500</xdr:rowOff>
    </xdr:from>
    <xdr:to>
      <xdr:col>5</xdr:col>
      <xdr:colOff>2238375</xdr:colOff>
      <xdr:row>10</xdr:row>
      <xdr:rowOff>428625</xdr:rowOff>
    </xdr:to>
    <xdr:sp macro="" textlink="">
      <xdr:nvSpPr>
        <xdr:cNvPr id="3131" name="AutoShape 6"/>
        <xdr:cNvSpPr>
          <a:spLocks noChangeArrowheads="1"/>
        </xdr:cNvSpPr>
      </xdr:nvSpPr>
      <xdr:spPr bwMode="auto">
        <a:xfrm>
          <a:off x="3952875" y="37433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19</xdr:row>
      <xdr:rowOff>190500</xdr:rowOff>
    </xdr:from>
    <xdr:to>
      <xdr:col>5</xdr:col>
      <xdr:colOff>2238375</xdr:colOff>
      <xdr:row>19</xdr:row>
      <xdr:rowOff>428625</xdr:rowOff>
    </xdr:to>
    <xdr:sp macro="" textlink="">
      <xdr:nvSpPr>
        <xdr:cNvPr id="3132" name="AutoShape 7"/>
        <xdr:cNvSpPr>
          <a:spLocks noChangeArrowheads="1"/>
        </xdr:cNvSpPr>
      </xdr:nvSpPr>
      <xdr:spPr bwMode="auto">
        <a:xfrm>
          <a:off x="3952875" y="684847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11</xdr:row>
      <xdr:rowOff>47625</xdr:rowOff>
    </xdr:from>
    <xdr:to>
      <xdr:col>5</xdr:col>
      <xdr:colOff>2238375</xdr:colOff>
      <xdr:row>11</xdr:row>
      <xdr:rowOff>285750</xdr:rowOff>
    </xdr:to>
    <xdr:sp macro="" textlink="">
      <xdr:nvSpPr>
        <xdr:cNvPr id="3133" name="AutoShape 8"/>
        <xdr:cNvSpPr>
          <a:spLocks noChangeArrowheads="1"/>
        </xdr:cNvSpPr>
      </xdr:nvSpPr>
      <xdr:spPr bwMode="auto">
        <a:xfrm>
          <a:off x="3952875" y="4114800"/>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133350</xdr:colOff>
      <xdr:row>6</xdr:row>
      <xdr:rowOff>190500</xdr:rowOff>
    </xdr:from>
    <xdr:to>
      <xdr:col>5</xdr:col>
      <xdr:colOff>2238375</xdr:colOff>
      <xdr:row>6</xdr:row>
      <xdr:rowOff>428625</xdr:rowOff>
    </xdr:to>
    <xdr:sp macro="" textlink="">
      <xdr:nvSpPr>
        <xdr:cNvPr id="4131" name="AutoShape 1"/>
        <xdr:cNvSpPr>
          <a:spLocks noChangeArrowheads="1"/>
        </xdr:cNvSpPr>
      </xdr:nvSpPr>
      <xdr:spPr bwMode="auto">
        <a:xfrm>
          <a:off x="3952875" y="16859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10</xdr:row>
      <xdr:rowOff>190500</xdr:rowOff>
    </xdr:from>
    <xdr:to>
      <xdr:col>5</xdr:col>
      <xdr:colOff>2238375</xdr:colOff>
      <xdr:row>10</xdr:row>
      <xdr:rowOff>428625</xdr:rowOff>
    </xdr:to>
    <xdr:sp macro="" textlink="">
      <xdr:nvSpPr>
        <xdr:cNvPr id="4132" name="AutoShape 3"/>
        <xdr:cNvSpPr>
          <a:spLocks noChangeArrowheads="1"/>
        </xdr:cNvSpPr>
      </xdr:nvSpPr>
      <xdr:spPr bwMode="auto">
        <a:xfrm>
          <a:off x="3952875" y="37433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19</xdr:row>
      <xdr:rowOff>190500</xdr:rowOff>
    </xdr:from>
    <xdr:to>
      <xdr:col>5</xdr:col>
      <xdr:colOff>2238375</xdr:colOff>
      <xdr:row>19</xdr:row>
      <xdr:rowOff>428625</xdr:rowOff>
    </xdr:to>
    <xdr:sp macro="" textlink="">
      <xdr:nvSpPr>
        <xdr:cNvPr id="4133" name="AutoShape 4"/>
        <xdr:cNvSpPr>
          <a:spLocks noChangeArrowheads="1"/>
        </xdr:cNvSpPr>
      </xdr:nvSpPr>
      <xdr:spPr bwMode="auto">
        <a:xfrm>
          <a:off x="3952875" y="684847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11</xdr:row>
      <xdr:rowOff>47625</xdr:rowOff>
    </xdr:from>
    <xdr:to>
      <xdr:col>5</xdr:col>
      <xdr:colOff>2238375</xdr:colOff>
      <xdr:row>11</xdr:row>
      <xdr:rowOff>285750</xdr:rowOff>
    </xdr:to>
    <xdr:sp macro="" textlink="">
      <xdr:nvSpPr>
        <xdr:cNvPr id="4134" name="AutoShape 6"/>
        <xdr:cNvSpPr>
          <a:spLocks noChangeArrowheads="1"/>
        </xdr:cNvSpPr>
      </xdr:nvSpPr>
      <xdr:spPr bwMode="auto">
        <a:xfrm>
          <a:off x="3952875" y="4114800"/>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133350</xdr:colOff>
      <xdr:row>6</xdr:row>
      <xdr:rowOff>190500</xdr:rowOff>
    </xdr:from>
    <xdr:to>
      <xdr:col>5</xdr:col>
      <xdr:colOff>2238375</xdr:colOff>
      <xdr:row>6</xdr:row>
      <xdr:rowOff>428625</xdr:rowOff>
    </xdr:to>
    <xdr:sp macro="" textlink="">
      <xdr:nvSpPr>
        <xdr:cNvPr id="5170" name="AutoShape 1"/>
        <xdr:cNvSpPr>
          <a:spLocks noChangeArrowheads="1"/>
        </xdr:cNvSpPr>
      </xdr:nvSpPr>
      <xdr:spPr bwMode="auto">
        <a:xfrm>
          <a:off x="3952875" y="16859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10</xdr:row>
      <xdr:rowOff>190500</xdr:rowOff>
    </xdr:from>
    <xdr:to>
      <xdr:col>5</xdr:col>
      <xdr:colOff>2238375</xdr:colOff>
      <xdr:row>10</xdr:row>
      <xdr:rowOff>428625</xdr:rowOff>
    </xdr:to>
    <xdr:sp macro="" textlink="">
      <xdr:nvSpPr>
        <xdr:cNvPr id="5171" name="AutoShape 2"/>
        <xdr:cNvSpPr>
          <a:spLocks noChangeArrowheads="1"/>
        </xdr:cNvSpPr>
      </xdr:nvSpPr>
      <xdr:spPr bwMode="auto">
        <a:xfrm>
          <a:off x="3952875" y="37433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6</xdr:row>
      <xdr:rowOff>190500</xdr:rowOff>
    </xdr:from>
    <xdr:to>
      <xdr:col>5</xdr:col>
      <xdr:colOff>2238375</xdr:colOff>
      <xdr:row>6</xdr:row>
      <xdr:rowOff>428625</xdr:rowOff>
    </xdr:to>
    <xdr:sp macro="" textlink="">
      <xdr:nvSpPr>
        <xdr:cNvPr id="5172" name="AutoShape 4"/>
        <xdr:cNvSpPr>
          <a:spLocks noChangeArrowheads="1"/>
        </xdr:cNvSpPr>
      </xdr:nvSpPr>
      <xdr:spPr bwMode="auto">
        <a:xfrm>
          <a:off x="3952875" y="16859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10</xdr:row>
      <xdr:rowOff>190500</xdr:rowOff>
    </xdr:from>
    <xdr:to>
      <xdr:col>5</xdr:col>
      <xdr:colOff>2238375</xdr:colOff>
      <xdr:row>10</xdr:row>
      <xdr:rowOff>428625</xdr:rowOff>
    </xdr:to>
    <xdr:sp macro="" textlink="">
      <xdr:nvSpPr>
        <xdr:cNvPr id="5173" name="AutoShape 5"/>
        <xdr:cNvSpPr>
          <a:spLocks noChangeArrowheads="1"/>
        </xdr:cNvSpPr>
      </xdr:nvSpPr>
      <xdr:spPr bwMode="auto">
        <a:xfrm>
          <a:off x="3952875" y="374332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19</xdr:row>
      <xdr:rowOff>190500</xdr:rowOff>
    </xdr:from>
    <xdr:to>
      <xdr:col>5</xdr:col>
      <xdr:colOff>2238375</xdr:colOff>
      <xdr:row>19</xdr:row>
      <xdr:rowOff>428625</xdr:rowOff>
    </xdr:to>
    <xdr:sp macro="" textlink="">
      <xdr:nvSpPr>
        <xdr:cNvPr id="5174" name="AutoShape 6"/>
        <xdr:cNvSpPr>
          <a:spLocks noChangeArrowheads="1"/>
        </xdr:cNvSpPr>
      </xdr:nvSpPr>
      <xdr:spPr bwMode="auto">
        <a:xfrm>
          <a:off x="3952875" y="6848475"/>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133350</xdr:colOff>
      <xdr:row>11</xdr:row>
      <xdr:rowOff>47625</xdr:rowOff>
    </xdr:from>
    <xdr:to>
      <xdr:col>5</xdr:col>
      <xdr:colOff>2238375</xdr:colOff>
      <xdr:row>11</xdr:row>
      <xdr:rowOff>285750</xdr:rowOff>
    </xdr:to>
    <xdr:sp macro="" textlink="">
      <xdr:nvSpPr>
        <xdr:cNvPr id="5175" name="AutoShape 7"/>
        <xdr:cNvSpPr>
          <a:spLocks noChangeArrowheads="1"/>
        </xdr:cNvSpPr>
      </xdr:nvSpPr>
      <xdr:spPr bwMode="auto">
        <a:xfrm>
          <a:off x="3952875" y="4114800"/>
          <a:ext cx="2105025" cy="238125"/>
        </a:xfrm>
        <a:prstGeom prst="rightArrow">
          <a:avLst>
            <a:gd name="adj1" fmla="val 50000"/>
            <a:gd name="adj2" fmla="val 221000"/>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36"/>
  <sheetViews>
    <sheetView tabSelected="1" view="pageBreakPreview" zoomScale="85" zoomScaleNormal="90" workbookViewId="0">
      <pane xSplit="3" ySplit="6" topLeftCell="D7" activePane="bottomRight" state="frozen"/>
      <selection activeCell="Q7" sqref="Q7"/>
      <selection pane="topRight" activeCell="Q7" sqref="Q7"/>
      <selection pane="bottomLeft" activeCell="Q7" sqref="Q7"/>
      <selection pane="bottomRight" activeCell="J3" sqref="J3:O4"/>
    </sheetView>
  </sheetViews>
  <sheetFormatPr defaultRowHeight="13.5"/>
  <cols>
    <col min="2" max="2" width="11.875" customWidth="1"/>
    <col min="3" max="3" width="9.875" customWidth="1"/>
    <col min="4" max="4" width="11.875" customWidth="1"/>
    <col min="5" max="5" width="4.75" customWidth="1"/>
    <col min="6" max="6" width="11.875" customWidth="1"/>
    <col min="7" max="7" width="4.75" customWidth="1"/>
    <col min="8" max="8" width="11.875" customWidth="1"/>
    <col min="9" max="9" width="4.75" customWidth="1"/>
    <col min="10" max="10" width="11.875" customWidth="1"/>
    <col min="11" max="11" width="4.75" customWidth="1"/>
    <col min="12" max="12" width="11.875" customWidth="1"/>
    <col min="13" max="13" width="4.75" customWidth="1"/>
    <col min="14" max="14" width="11.875" customWidth="1"/>
    <col min="15" max="15" width="4.75" customWidth="1"/>
    <col min="16" max="16" width="13" customWidth="1"/>
    <col min="17" max="17" width="4.75" customWidth="1"/>
  </cols>
  <sheetData>
    <row r="1" spans="1:17" ht="30.75" customHeight="1">
      <c r="A1" s="93" t="s">
        <v>104</v>
      </c>
      <c r="B1" s="93"/>
      <c r="C1" s="93"/>
      <c r="D1" s="93"/>
      <c r="E1" s="93"/>
      <c r="F1" s="93"/>
      <c r="G1" s="93"/>
      <c r="H1" s="93"/>
      <c r="I1" s="93"/>
      <c r="J1" s="93"/>
      <c r="K1" s="93"/>
      <c r="L1" s="93"/>
      <c r="M1" s="93"/>
      <c r="N1" s="93"/>
      <c r="O1" s="93"/>
      <c r="P1" s="93"/>
      <c r="Q1" s="93"/>
    </row>
    <row r="2" spans="1:17" ht="20.25" customHeight="1">
      <c r="A2" s="94" t="s">
        <v>14</v>
      </c>
      <c r="B2" s="95"/>
      <c r="C2" s="96"/>
      <c r="D2" s="112" t="s">
        <v>1</v>
      </c>
      <c r="E2" s="150"/>
      <c r="F2" s="150"/>
      <c r="G2" s="150"/>
      <c r="H2" s="150"/>
      <c r="I2" s="151"/>
      <c r="J2" s="148" t="s">
        <v>5</v>
      </c>
      <c r="K2" s="149"/>
      <c r="L2" s="149"/>
      <c r="M2" s="149"/>
      <c r="N2" s="149"/>
      <c r="O2" s="147"/>
      <c r="P2" s="133" t="s">
        <v>103</v>
      </c>
      <c r="Q2" s="134"/>
    </row>
    <row r="3" spans="1:17" ht="20.25" customHeight="1">
      <c r="A3" s="97"/>
      <c r="B3" s="98"/>
      <c r="C3" s="99"/>
      <c r="D3" s="112" t="s">
        <v>2</v>
      </c>
      <c r="E3" s="113"/>
      <c r="F3" s="112" t="s">
        <v>3</v>
      </c>
      <c r="G3" s="151"/>
      <c r="H3" s="112" t="s">
        <v>4</v>
      </c>
      <c r="I3" s="113"/>
      <c r="J3" s="139"/>
      <c r="K3" s="140"/>
      <c r="L3" s="140"/>
      <c r="M3" s="140"/>
      <c r="N3" s="140"/>
      <c r="O3" s="141"/>
      <c r="P3" s="135"/>
      <c r="Q3" s="136"/>
    </row>
    <row r="4" spans="1:17" ht="27.75" customHeight="1">
      <c r="A4" s="100"/>
      <c r="B4" s="101"/>
      <c r="C4" s="102"/>
      <c r="D4" s="110"/>
      <c r="E4" s="111"/>
      <c r="F4" s="110"/>
      <c r="G4" s="111"/>
      <c r="H4" s="110"/>
      <c r="I4" s="111"/>
      <c r="J4" s="142"/>
      <c r="K4" s="143"/>
      <c r="L4" s="143"/>
      <c r="M4" s="143"/>
      <c r="N4" s="143"/>
      <c r="O4" s="144"/>
      <c r="P4" s="137"/>
      <c r="Q4" s="138"/>
    </row>
    <row r="5" spans="1:17" ht="19.5" customHeight="1">
      <c r="A5" s="114" t="s">
        <v>6</v>
      </c>
      <c r="B5" s="114"/>
      <c r="C5" s="114"/>
      <c r="D5" s="145" t="s">
        <v>7</v>
      </c>
      <c r="E5" s="146"/>
      <c r="F5" s="146"/>
      <c r="G5" s="146"/>
      <c r="H5" s="146"/>
      <c r="I5" s="146"/>
      <c r="J5" s="146"/>
      <c r="K5" s="146"/>
      <c r="L5" s="146"/>
      <c r="M5" s="146"/>
      <c r="N5" s="146"/>
      <c r="O5" s="147"/>
      <c r="P5" s="127" t="s">
        <v>8</v>
      </c>
      <c r="Q5" s="128"/>
    </row>
    <row r="6" spans="1:17" ht="20.25" customHeight="1">
      <c r="A6" s="114"/>
      <c r="B6" s="114"/>
      <c r="C6" s="114"/>
      <c r="D6" s="108" t="s">
        <v>13</v>
      </c>
      <c r="E6" s="109"/>
      <c r="F6" s="118"/>
      <c r="G6" s="119"/>
      <c r="H6" s="131"/>
      <c r="I6" s="132"/>
      <c r="J6" s="118"/>
      <c r="K6" s="119"/>
      <c r="L6" s="118"/>
      <c r="M6" s="119"/>
      <c r="N6" s="118"/>
      <c r="O6" s="119"/>
      <c r="P6" s="129"/>
      <c r="Q6" s="130"/>
    </row>
    <row r="7" spans="1:17" ht="20.25" customHeight="1">
      <c r="A7" s="103" t="s">
        <v>15</v>
      </c>
      <c r="B7" s="106" t="s">
        <v>97</v>
      </c>
      <c r="C7" s="107"/>
      <c r="D7" s="27"/>
      <c r="E7" s="4" t="s">
        <v>11</v>
      </c>
      <c r="F7" s="27"/>
      <c r="G7" s="4" t="s">
        <v>11</v>
      </c>
      <c r="H7" s="27"/>
      <c r="I7" s="4" t="s">
        <v>11</v>
      </c>
      <c r="J7" s="27"/>
      <c r="K7" s="4" t="s">
        <v>11</v>
      </c>
      <c r="L7" s="27"/>
      <c r="M7" s="4" t="s">
        <v>11</v>
      </c>
      <c r="N7" s="27"/>
      <c r="O7" s="4" t="s">
        <v>11</v>
      </c>
      <c r="P7" s="24">
        <f t="shared" ref="P7:P13" si="0">D7+F7+H7+J7+L7+N7</f>
        <v>0</v>
      </c>
      <c r="Q7" s="4" t="s">
        <v>11</v>
      </c>
    </row>
    <row r="8" spans="1:17" ht="20.25" customHeight="1">
      <c r="A8" s="104"/>
      <c r="B8" s="115" t="s">
        <v>86</v>
      </c>
      <c r="C8" s="115"/>
      <c r="D8" s="84"/>
      <c r="E8" s="85" t="s">
        <v>11</v>
      </c>
      <c r="F8" s="84"/>
      <c r="G8" s="85" t="s">
        <v>11</v>
      </c>
      <c r="H8" s="84"/>
      <c r="I8" s="85" t="s">
        <v>11</v>
      </c>
      <c r="J8" s="84"/>
      <c r="K8" s="85" t="s">
        <v>11</v>
      </c>
      <c r="L8" s="84"/>
      <c r="M8" s="85" t="s">
        <v>11</v>
      </c>
      <c r="N8" s="84"/>
      <c r="O8" s="85" t="s">
        <v>11</v>
      </c>
      <c r="P8" s="86">
        <f t="shared" si="0"/>
        <v>0</v>
      </c>
      <c r="Q8" s="85" t="s">
        <v>11</v>
      </c>
    </row>
    <row r="9" spans="1:17" ht="20.25" customHeight="1">
      <c r="A9" s="104"/>
      <c r="B9" s="103" t="s">
        <v>94</v>
      </c>
      <c r="C9" s="80" t="s">
        <v>95</v>
      </c>
      <c r="D9" s="81"/>
      <c r="E9" s="82" t="s">
        <v>12</v>
      </c>
      <c r="F9" s="81"/>
      <c r="G9" s="82" t="s">
        <v>12</v>
      </c>
      <c r="H9" s="81"/>
      <c r="I9" s="82" t="s">
        <v>12</v>
      </c>
      <c r="J9" s="81"/>
      <c r="K9" s="82" t="s">
        <v>12</v>
      </c>
      <c r="L9" s="81"/>
      <c r="M9" s="82" t="s">
        <v>12</v>
      </c>
      <c r="N9" s="81"/>
      <c r="O9" s="82" t="s">
        <v>12</v>
      </c>
      <c r="P9" s="83">
        <f t="shared" si="0"/>
        <v>0</v>
      </c>
      <c r="Q9" s="82" t="s">
        <v>12</v>
      </c>
    </row>
    <row r="10" spans="1:17" ht="20.25" customHeight="1">
      <c r="A10" s="104"/>
      <c r="B10" s="116"/>
      <c r="C10" s="80" t="s">
        <v>96</v>
      </c>
      <c r="D10" s="28"/>
      <c r="E10" s="5" t="s">
        <v>12</v>
      </c>
      <c r="F10" s="28"/>
      <c r="G10" s="5" t="s">
        <v>12</v>
      </c>
      <c r="H10" s="28"/>
      <c r="I10" s="5" t="s">
        <v>12</v>
      </c>
      <c r="J10" s="28"/>
      <c r="K10" s="5" t="s">
        <v>12</v>
      </c>
      <c r="L10" s="28"/>
      <c r="M10" s="5" t="s">
        <v>12</v>
      </c>
      <c r="N10" s="28"/>
      <c r="O10" s="5" t="s">
        <v>12</v>
      </c>
      <c r="P10" s="25">
        <f t="shared" si="0"/>
        <v>0</v>
      </c>
      <c r="Q10" s="5" t="s">
        <v>12</v>
      </c>
    </row>
    <row r="11" spans="1:17" ht="20.25" customHeight="1">
      <c r="A11" s="104"/>
      <c r="B11" s="116"/>
      <c r="C11" s="79" t="s">
        <v>91</v>
      </c>
      <c r="D11" s="28"/>
      <c r="E11" s="5" t="s">
        <v>12</v>
      </c>
      <c r="F11" s="28"/>
      <c r="G11" s="5" t="s">
        <v>12</v>
      </c>
      <c r="H11" s="28"/>
      <c r="I11" s="5" t="s">
        <v>12</v>
      </c>
      <c r="J11" s="28"/>
      <c r="K11" s="5" t="s">
        <v>12</v>
      </c>
      <c r="L11" s="28"/>
      <c r="M11" s="5" t="s">
        <v>12</v>
      </c>
      <c r="N11" s="28"/>
      <c r="O11" s="5" t="s">
        <v>12</v>
      </c>
      <c r="P11" s="25">
        <f t="shared" si="0"/>
        <v>0</v>
      </c>
      <c r="Q11" s="5" t="s">
        <v>12</v>
      </c>
    </row>
    <row r="12" spans="1:17" ht="20.25" customHeight="1">
      <c r="A12" s="104"/>
      <c r="B12" s="116"/>
      <c r="C12" s="77" t="s">
        <v>10</v>
      </c>
      <c r="D12" s="28"/>
      <c r="E12" s="5" t="s">
        <v>12</v>
      </c>
      <c r="F12" s="28"/>
      <c r="G12" s="5" t="s">
        <v>12</v>
      </c>
      <c r="H12" s="28"/>
      <c r="I12" s="5" t="s">
        <v>12</v>
      </c>
      <c r="J12" s="28"/>
      <c r="K12" s="5" t="s">
        <v>12</v>
      </c>
      <c r="L12" s="28"/>
      <c r="M12" s="5" t="s">
        <v>12</v>
      </c>
      <c r="N12" s="28"/>
      <c r="O12" s="5" t="s">
        <v>12</v>
      </c>
      <c r="P12" s="25">
        <f t="shared" si="0"/>
        <v>0</v>
      </c>
      <c r="Q12" s="5" t="s">
        <v>12</v>
      </c>
    </row>
    <row r="13" spans="1:17" ht="20.25" customHeight="1">
      <c r="A13" s="105"/>
      <c r="B13" s="117"/>
      <c r="C13" s="78" t="s">
        <v>9</v>
      </c>
      <c r="D13" s="29"/>
      <c r="E13" s="6" t="s">
        <v>12</v>
      </c>
      <c r="F13" s="29"/>
      <c r="G13" s="6" t="s">
        <v>12</v>
      </c>
      <c r="H13" s="29"/>
      <c r="I13" s="6" t="s">
        <v>12</v>
      </c>
      <c r="J13" s="29"/>
      <c r="K13" s="6" t="s">
        <v>12</v>
      </c>
      <c r="L13" s="29"/>
      <c r="M13" s="6" t="s">
        <v>12</v>
      </c>
      <c r="N13" s="29"/>
      <c r="O13" s="6" t="s">
        <v>12</v>
      </c>
      <c r="P13" s="26">
        <f t="shared" si="0"/>
        <v>0</v>
      </c>
      <c r="Q13" s="6" t="s">
        <v>12</v>
      </c>
    </row>
    <row r="14" spans="1:17" ht="20.25" customHeight="1">
      <c r="A14" s="103" t="s">
        <v>16</v>
      </c>
      <c r="B14" s="106" t="s">
        <v>97</v>
      </c>
      <c r="C14" s="107"/>
      <c r="D14" s="27"/>
      <c r="E14" s="4" t="s">
        <v>11</v>
      </c>
      <c r="F14" s="27"/>
      <c r="G14" s="4" t="s">
        <v>11</v>
      </c>
      <c r="H14" s="27"/>
      <c r="I14" s="4" t="s">
        <v>11</v>
      </c>
      <c r="J14" s="27"/>
      <c r="K14" s="4" t="s">
        <v>11</v>
      </c>
      <c r="L14" s="27"/>
      <c r="M14" s="4" t="s">
        <v>11</v>
      </c>
      <c r="N14" s="27"/>
      <c r="O14" s="4" t="s">
        <v>11</v>
      </c>
      <c r="P14" s="24">
        <f t="shared" ref="P14:P36" si="1">D14+F14+H14+J14+L14+N14</f>
        <v>0</v>
      </c>
      <c r="Q14" s="4" t="s">
        <v>11</v>
      </c>
    </row>
    <row r="15" spans="1:17" ht="20.25" customHeight="1">
      <c r="A15" s="104"/>
      <c r="B15" s="115" t="s">
        <v>86</v>
      </c>
      <c r="C15" s="115"/>
      <c r="D15" s="84"/>
      <c r="E15" s="85" t="s">
        <v>11</v>
      </c>
      <c r="F15" s="84"/>
      <c r="G15" s="85" t="s">
        <v>11</v>
      </c>
      <c r="H15" s="84"/>
      <c r="I15" s="85" t="s">
        <v>11</v>
      </c>
      <c r="J15" s="84"/>
      <c r="K15" s="85" t="s">
        <v>11</v>
      </c>
      <c r="L15" s="84"/>
      <c r="M15" s="85" t="s">
        <v>11</v>
      </c>
      <c r="N15" s="84"/>
      <c r="O15" s="85" t="s">
        <v>11</v>
      </c>
      <c r="P15" s="86">
        <f>D15+F15+H15+J15+L15+N15</f>
        <v>0</v>
      </c>
      <c r="Q15" s="85" t="s">
        <v>11</v>
      </c>
    </row>
    <row r="16" spans="1:17" ht="20.25" customHeight="1">
      <c r="A16" s="104"/>
      <c r="B16" s="103" t="s">
        <v>94</v>
      </c>
      <c r="C16" s="80" t="s">
        <v>95</v>
      </c>
      <c r="D16" s="81"/>
      <c r="E16" s="82" t="s">
        <v>12</v>
      </c>
      <c r="F16" s="81"/>
      <c r="G16" s="82" t="s">
        <v>12</v>
      </c>
      <c r="H16" s="81"/>
      <c r="I16" s="82" t="s">
        <v>12</v>
      </c>
      <c r="J16" s="81"/>
      <c r="K16" s="82" t="s">
        <v>12</v>
      </c>
      <c r="L16" s="81"/>
      <c r="M16" s="82" t="s">
        <v>12</v>
      </c>
      <c r="N16" s="81"/>
      <c r="O16" s="82" t="s">
        <v>12</v>
      </c>
      <c r="P16" s="83">
        <f t="shared" si="1"/>
        <v>0</v>
      </c>
      <c r="Q16" s="82" t="s">
        <v>12</v>
      </c>
    </row>
    <row r="17" spans="1:17" ht="20.25" customHeight="1">
      <c r="A17" s="104"/>
      <c r="B17" s="116"/>
      <c r="C17" s="80" t="s">
        <v>96</v>
      </c>
      <c r="D17" s="28"/>
      <c r="E17" s="5" t="s">
        <v>12</v>
      </c>
      <c r="F17" s="28"/>
      <c r="G17" s="5" t="s">
        <v>12</v>
      </c>
      <c r="H17" s="28"/>
      <c r="I17" s="5" t="s">
        <v>12</v>
      </c>
      <c r="J17" s="28"/>
      <c r="K17" s="5" t="s">
        <v>12</v>
      </c>
      <c r="L17" s="28"/>
      <c r="M17" s="5" t="s">
        <v>12</v>
      </c>
      <c r="N17" s="28"/>
      <c r="O17" s="5" t="s">
        <v>12</v>
      </c>
      <c r="P17" s="25">
        <f>D17+F17+H17+J17+L17+N17</f>
        <v>0</v>
      </c>
      <c r="Q17" s="5" t="s">
        <v>12</v>
      </c>
    </row>
    <row r="18" spans="1:17" ht="20.25" customHeight="1">
      <c r="A18" s="104"/>
      <c r="B18" s="116"/>
      <c r="C18" s="79" t="s">
        <v>91</v>
      </c>
      <c r="D18" s="28"/>
      <c r="E18" s="5" t="s">
        <v>12</v>
      </c>
      <c r="F18" s="28"/>
      <c r="G18" s="5" t="s">
        <v>12</v>
      </c>
      <c r="H18" s="28"/>
      <c r="I18" s="5" t="s">
        <v>12</v>
      </c>
      <c r="J18" s="28"/>
      <c r="K18" s="5" t="s">
        <v>12</v>
      </c>
      <c r="L18" s="28"/>
      <c r="M18" s="5" t="s">
        <v>12</v>
      </c>
      <c r="N18" s="28"/>
      <c r="O18" s="5" t="s">
        <v>12</v>
      </c>
      <c r="P18" s="25">
        <f>D18+F18+H18+J18+L18+N18</f>
        <v>0</v>
      </c>
      <c r="Q18" s="5" t="s">
        <v>12</v>
      </c>
    </row>
    <row r="19" spans="1:17" ht="20.25" customHeight="1">
      <c r="A19" s="104"/>
      <c r="B19" s="116"/>
      <c r="C19" s="77" t="s">
        <v>10</v>
      </c>
      <c r="D19" s="28"/>
      <c r="E19" s="5" t="s">
        <v>12</v>
      </c>
      <c r="F19" s="28"/>
      <c r="G19" s="5" t="s">
        <v>12</v>
      </c>
      <c r="H19" s="28"/>
      <c r="I19" s="5" t="s">
        <v>12</v>
      </c>
      <c r="J19" s="28"/>
      <c r="K19" s="5" t="s">
        <v>12</v>
      </c>
      <c r="L19" s="28"/>
      <c r="M19" s="5" t="s">
        <v>12</v>
      </c>
      <c r="N19" s="28"/>
      <c r="O19" s="5" t="s">
        <v>12</v>
      </c>
      <c r="P19" s="25">
        <f t="shared" si="1"/>
        <v>0</v>
      </c>
      <c r="Q19" s="5" t="s">
        <v>12</v>
      </c>
    </row>
    <row r="20" spans="1:17" ht="20.25" customHeight="1">
      <c r="A20" s="105"/>
      <c r="B20" s="117"/>
      <c r="C20" s="78" t="s">
        <v>9</v>
      </c>
      <c r="D20" s="29"/>
      <c r="E20" s="6" t="s">
        <v>12</v>
      </c>
      <c r="F20" s="29"/>
      <c r="G20" s="6" t="s">
        <v>12</v>
      </c>
      <c r="H20" s="29"/>
      <c r="I20" s="6" t="s">
        <v>12</v>
      </c>
      <c r="J20" s="29"/>
      <c r="K20" s="6" t="s">
        <v>12</v>
      </c>
      <c r="L20" s="29"/>
      <c r="M20" s="6" t="s">
        <v>12</v>
      </c>
      <c r="N20" s="29"/>
      <c r="O20" s="6" t="s">
        <v>12</v>
      </c>
      <c r="P20" s="26">
        <f t="shared" si="1"/>
        <v>0</v>
      </c>
      <c r="Q20" s="6" t="s">
        <v>12</v>
      </c>
    </row>
    <row r="21" spans="1:17" ht="20.25" customHeight="1">
      <c r="A21" s="103" t="s">
        <v>17</v>
      </c>
      <c r="B21" s="106" t="s">
        <v>97</v>
      </c>
      <c r="C21" s="107"/>
      <c r="D21" s="27"/>
      <c r="E21" s="4" t="s">
        <v>11</v>
      </c>
      <c r="F21" s="27"/>
      <c r="G21" s="4" t="s">
        <v>11</v>
      </c>
      <c r="H21" s="27"/>
      <c r="I21" s="4" t="s">
        <v>11</v>
      </c>
      <c r="J21" s="27"/>
      <c r="K21" s="4" t="s">
        <v>11</v>
      </c>
      <c r="L21" s="27"/>
      <c r="M21" s="4" t="s">
        <v>11</v>
      </c>
      <c r="N21" s="27"/>
      <c r="O21" s="4" t="s">
        <v>11</v>
      </c>
      <c r="P21" s="24">
        <f t="shared" ref="P21:P27" si="2">D21+F21+H21+J21+L21+N21</f>
        <v>0</v>
      </c>
      <c r="Q21" s="4" t="s">
        <v>11</v>
      </c>
    </row>
    <row r="22" spans="1:17" ht="20.25" customHeight="1">
      <c r="A22" s="104"/>
      <c r="B22" s="115" t="s">
        <v>86</v>
      </c>
      <c r="C22" s="115"/>
      <c r="D22" s="84"/>
      <c r="E22" s="85" t="s">
        <v>11</v>
      </c>
      <c r="F22" s="84"/>
      <c r="G22" s="85" t="s">
        <v>11</v>
      </c>
      <c r="H22" s="84"/>
      <c r="I22" s="85" t="s">
        <v>11</v>
      </c>
      <c r="J22" s="84"/>
      <c r="K22" s="85" t="s">
        <v>11</v>
      </c>
      <c r="L22" s="84"/>
      <c r="M22" s="85" t="s">
        <v>11</v>
      </c>
      <c r="N22" s="84"/>
      <c r="O22" s="85" t="s">
        <v>11</v>
      </c>
      <c r="P22" s="86">
        <f t="shared" si="2"/>
        <v>0</v>
      </c>
      <c r="Q22" s="85" t="s">
        <v>11</v>
      </c>
    </row>
    <row r="23" spans="1:17" ht="20.25" customHeight="1">
      <c r="A23" s="104"/>
      <c r="B23" s="103" t="s">
        <v>94</v>
      </c>
      <c r="C23" s="80" t="s">
        <v>95</v>
      </c>
      <c r="D23" s="81"/>
      <c r="E23" s="82" t="s">
        <v>12</v>
      </c>
      <c r="F23" s="81"/>
      <c r="G23" s="82" t="s">
        <v>12</v>
      </c>
      <c r="H23" s="81"/>
      <c r="I23" s="82" t="s">
        <v>12</v>
      </c>
      <c r="J23" s="81"/>
      <c r="K23" s="82" t="s">
        <v>12</v>
      </c>
      <c r="L23" s="81"/>
      <c r="M23" s="82" t="s">
        <v>12</v>
      </c>
      <c r="N23" s="81"/>
      <c r="O23" s="82" t="s">
        <v>12</v>
      </c>
      <c r="P23" s="83">
        <f t="shared" si="2"/>
        <v>0</v>
      </c>
      <c r="Q23" s="82" t="s">
        <v>12</v>
      </c>
    </row>
    <row r="24" spans="1:17" ht="20.25" customHeight="1">
      <c r="A24" s="104"/>
      <c r="B24" s="116"/>
      <c r="C24" s="80" t="s">
        <v>96</v>
      </c>
      <c r="D24" s="28"/>
      <c r="E24" s="5" t="s">
        <v>12</v>
      </c>
      <c r="F24" s="28"/>
      <c r="G24" s="5" t="s">
        <v>12</v>
      </c>
      <c r="H24" s="28"/>
      <c r="I24" s="5" t="s">
        <v>12</v>
      </c>
      <c r="J24" s="28"/>
      <c r="K24" s="5" t="s">
        <v>12</v>
      </c>
      <c r="L24" s="28"/>
      <c r="M24" s="5" t="s">
        <v>12</v>
      </c>
      <c r="N24" s="28"/>
      <c r="O24" s="5" t="s">
        <v>12</v>
      </c>
      <c r="P24" s="25">
        <f t="shared" si="2"/>
        <v>0</v>
      </c>
      <c r="Q24" s="5" t="s">
        <v>12</v>
      </c>
    </row>
    <row r="25" spans="1:17" ht="20.25" customHeight="1">
      <c r="A25" s="104"/>
      <c r="B25" s="116"/>
      <c r="C25" s="79" t="s">
        <v>91</v>
      </c>
      <c r="D25" s="28"/>
      <c r="E25" s="5" t="s">
        <v>12</v>
      </c>
      <c r="F25" s="28"/>
      <c r="G25" s="5" t="s">
        <v>12</v>
      </c>
      <c r="H25" s="28"/>
      <c r="I25" s="5" t="s">
        <v>12</v>
      </c>
      <c r="J25" s="28"/>
      <c r="K25" s="5" t="s">
        <v>12</v>
      </c>
      <c r="L25" s="28"/>
      <c r="M25" s="5" t="s">
        <v>12</v>
      </c>
      <c r="N25" s="28"/>
      <c r="O25" s="5" t="s">
        <v>12</v>
      </c>
      <c r="P25" s="25">
        <f t="shared" si="2"/>
        <v>0</v>
      </c>
      <c r="Q25" s="5" t="s">
        <v>12</v>
      </c>
    </row>
    <row r="26" spans="1:17" ht="20.25" customHeight="1">
      <c r="A26" s="104"/>
      <c r="B26" s="116"/>
      <c r="C26" s="77" t="s">
        <v>10</v>
      </c>
      <c r="D26" s="28"/>
      <c r="E26" s="5" t="s">
        <v>12</v>
      </c>
      <c r="F26" s="28"/>
      <c r="G26" s="5" t="s">
        <v>12</v>
      </c>
      <c r="H26" s="28"/>
      <c r="I26" s="5" t="s">
        <v>12</v>
      </c>
      <c r="J26" s="28"/>
      <c r="K26" s="5" t="s">
        <v>12</v>
      </c>
      <c r="L26" s="28"/>
      <c r="M26" s="5" t="s">
        <v>12</v>
      </c>
      <c r="N26" s="28"/>
      <c r="O26" s="5" t="s">
        <v>12</v>
      </c>
      <c r="P26" s="25">
        <f t="shared" si="2"/>
        <v>0</v>
      </c>
      <c r="Q26" s="5" t="s">
        <v>12</v>
      </c>
    </row>
    <row r="27" spans="1:17" ht="20.25" customHeight="1">
      <c r="A27" s="105"/>
      <c r="B27" s="117"/>
      <c r="C27" s="78" t="s">
        <v>9</v>
      </c>
      <c r="D27" s="29"/>
      <c r="E27" s="6" t="s">
        <v>12</v>
      </c>
      <c r="F27" s="29"/>
      <c r="G27" s="6" t="s">
        <v>12</v>
      </c>
      <c r="H27" s="29"/>
      <c r="I27" s="6" t="s">
        <v>12</v>
      </c>
      <c r="J27" s="29"/>
      <c r="K27" s="6" t="s">
        <v>12</v>
      </c>
      <c r="L27" s="29"/>
      <c r="M27" s="6" t="s">
        <v>12</v>
      </c>
      <c r="N27" s="29"/>
      <c r="O27" s="6" t="s">
        <v>12</v>
      </c>
      <c r="P27" s="26">
        <f t="shared" si="2"/>
        <v>0</v>
      </c>
      <c r="Q27" s="6" t="s">
        <v>12</v>
      </c>
    </row>
    <row r="28" spans="1:17" ht="20.25" customHeight="1">
      <c r="A28" s="123" t="s">
        <v>22</v>
      </c>
      <c r="B28" s="126" t="s">
        <v>18</v>
      </c>
      <c r="C28" s="126"/>
      <c r="D28" s="27"/>
      <c r="E28" s="7" t="s">
        <v>30</v>
      </c>
      <c r="F28" s="27"/>
      <c r="G28" s="7" t="s">
        <v>30</v>
      </c>
      <c r="H28" s="27"/>
      <c r="I28" s="7" t="s">
        <v>30</v>
      </c>
      <c r="J28" s="27"/>
      <c r="K28" s="7" t="s">
        <v>30</v>
      </c>
      <c r="L28" s="27"/>
      <c r="M28" s="7" t="s">
        <v>30</v>
      </c>
      <c r="N28" s="27"/>
      <c r="O28" s="7" t="s">
        <v>30</v>
      </c>
      <c r="P28" s="24">
        <f t="shared" si="1"/>
        <v>0</v>
      </c>
      <c r="Q28" s="4" t="s">
        <v>30</v>
      </c>
    </row>
    <row r="29" spans="1:17" ht="20.25" customHeight="1">
      <c r="A29" s="124"/>
      <c r="B29" s="126" t="s">
        <v>19</v>
      </c>
      <c r="C29" s="126"/>
      <c r="D29" s="28"/>
      <c r="E29" s="8" t="s">
        <v>30</v>
      </c>
      <c r="F29" s="28"/>
      <c r="G29" s="8" t="s">
        <v>30</v>
      </c>
      <c r="H29" s="28"/>
      <c r="I29" s="8" t="s">
        <v>30</v>
      </c>
      <c r="J29" s="28"/>
      <c r="K29" s="8" t="s">
        <v>30</v>
      </c>
      <c r="L29" s="28"/>
      <c r="M29" s="8" t="s">
        <v>30</v>
      </c>
      <c r="N29" s="28"/>
      <c r="O29" s="8" t="s">
        <v>30</v>
      </c>
      <c r="P29" s="25">
        <f t="shared" si="1"/>
        <v>0</v>
      </c>
      <c r="Q29" s="5" t="s">
        <v>30</v>
      </c>
    </row>
    <row r="30" spans="1:17" ht="20.25" customHeight="1">
      <c r="A30" s="124"/>
      <c r="B30" s="126" t="s">
        <v>20</v>
      </c>
      <c r="C30" s="126"/>
      <c r="D30" s="28"/>
      <c r="E30" s="8" t="s">
        <v>11</v>
      </c>
      <c r="F30" s="28"/>
      <c r="G30" s="8" t="s">
        <v>11</v>
      </c>
      <c r="H30" s="28"/>
      <c r="I30" s="8" t="s">
        <v>11</v>
      </c>
      <c r="J30" s="28"/>
      <c r="K30" s="8" t="s">
        <v>11</v>
      </c>
      <c r="L30" s="28"/>
      <c r="M30" s="8" t="s">
        <v>11</v>
      </c>
      <c r="N30" s="28"/>
      <c r="O30" s="8" t="s">
        <v>11</v>
      </c>
      <c r="P30" s="25">
        <f t="shared" si="1"/>
        <v>0</v>
      </c>
      <c r="Q30" s="5" t="s">
        <v>11</v>
      </c>
    </row>
    <row r="31" spans="1:17" ht="20.25" customHeight="1">
      <c r="A31" s="125"/>
      <c r="B31" s="126" t="s">
        <v>75</v>
      </c>
      <c r="C31" s="126"/>
      <c r="D31" s="29"/>
      <c r="E31" s="9" t="s">
        <v>11</v>
      </c>
      <c r="F31" s="29"/>
      <c r="G31" s="9" t="s">
        <v>11</v>
      </c>
      <c r="H31" s="29"/>
      <c r="I31" s="9" t="s">
        <v>11</v>
      </c>
      <c r="J31" s="29"/>
      <c r="K31" s="9" t="s">
        <v>11</v>
      </c>
      <c r="L31" s="29"/>
      <c r="M31" s="9" t="s">
        <v>11</v>
      </c>
      <c r="N31" s="29"/>
      <c r="O31" s="9" t="s">
        <v>11</v>
      </c>
      <c r="P31" s="26">
        <f t="shared" si="1"/>
        <v>0</v>
      </c>
      <c r="Q31" s="6" t="s">
        <v>11</v>
      </c>
    </row>
    <row r="32" spans="1:17" ht="20.25" customHeight="1">
      <c r="A32" s="120" t="s">
        <v>21</v>
      </c>
      <c r="B32" s="1" t="s">
        <v>24</v>
      </c>
      <c r="C32" s="3" t="s">
        <v>23</v>
      </c>
      <c r="D32" s="27"/>
      <c r="E32" s="7" t="s">
        <v>12</v>
      </c>
      <c r="F32" s="27"/>
      <c r="G32" s="7" t="s">
        <v>12</v>
      </c>
      <c r="H32" s="27"/>
      <c r="I32" s="7" t="s">
        <v>12</v>
      </c>
      <c r="J32" s="27"/>
      <c r="K32" s="7" t="s">
        <v>12</v>
      </c>
      <c r="L32" s="27"/>
      <c r="M32" s="7" t="s">
        <v>12</v>
      </c>
      <c r="N32" s="27"/>
      <c r="O32" s="7" t="s">
        <v>12</v>
      </c>
      <c r="P32" s="24">
        <f t="shared" si="1"/>
        <v>0</v>
      </c>
      <c r="Q32" s="4" t="s">
        <v>12</v>
      </c>
    </row>
    <row r="33" spans="1:17" ht="20.25" customHeight="1">
      <c r="A33" s="121"/>
      <c r="B33" s="1" t="s">
        <v>25</v>
      </c>
      <c r="C33" s="3" t="s">
        <v>23</v>
      </c>
      <c r="D33" s="28"/>
      <c r="E33" s="8" t="s">
        <v>12</v>
      </c>
      <c r="F33" s="28"/>
      <c r="G33" s="8" t="s">
        <v>12</v>
      </c>
      <c r="H33" s="28"/>
      <c r="I33" s="8" t="s">
        <v>12</v>
      </c>
      <c r="J33" s="28"/>
      <c r="K33" s="8" t="s">
        <v>12</v>
      </c>
      <c r="L33" s="28"/>
      <c r="M33" s="8" t="s">
        <v>12</v>
      </c>
      <c r="N33" s="28"/>
      <c r="O33" s="8" t="s">
        <v>12</v>
      </c>
      <c r="P33" s="25">
        <f t="shared" si="1"/>
        <v>0</v>
      </c>
      <c r="Q33" s="5" t="s">
        <v>12</v>
      </c>
    </row>
    <row r="34" spans="1:17" ht="20.25" customHeight="1">
      <c r="A34" s="121"/>
      <c r="B34" s="2" t="s">
        <v>26</v>
      </c>
      <c r="C34" s="3" t="s">
        <v>27</v>
      </c>
      <c r="D34" s="28"/>
      <c r="E34" s="8" t="s">
        <v>12</v>
      </c>
      <c r="F34" s="28"/>
      <c r="G34" s="8" t="s">
        <v>12</v>
      </c>
      <c r="H34" s="28"/>
      <c r="I34" s="8" t="s">
        <v>12</v>
      </c>
      <c r="J34" s="28"/>
      <c r="K34" s="8" t="s">
        <v>12</v>
      </c>
      <c r="L34" s="28"/>
      <c r="M34" s="8" t="s">
        <v>12</v>
      </c>
      <c r="N34" s="28"/>
      <c r="O34" s="8" t="s">
        <v>12</v>
      </c>
      <c r="P34" s="25">
        <f t="shared" si="1"/>
        <v>0</v>
      </c>
      <c r="Q34" s="5" t="s">
        <v>12</v>
      </c>
    </row>
    <row r="35" spans="1:17" ht="20.25" customHeight="1">
      <c r="A35" s="121"/>
      <c r="B35" s="1" t="s">
        <v>24</v>
      </c>
      <c r="C35" s="3" t="s">
        <v>27</v>
      </c>
      <c r="D35" s="28"/>
      <c r="E35" s="8" t="s">
        <v>12</v>
      </c>
      <c r="F35" s="28"/>
      <c r="G35" s="8" t="s">
        <v>12</v>
      </c>
      <c r="H35" s="28"/>
      <c r="I35" s="8" t="s">
        <v>12</v>
      </c>
      <c r="J35" s="28"/>
      <c r="K35" s="8" t="s">
        <v>12</v>
      </c>
      <c r="L35" s="28"/>
      <c r="M35" s="8" t="s">
        <v>12</v>
      </c>
      <c r="N35" s="28"/>
      <c r="O35" s="8" t="s">
        <v>12</v>
      </c>
      <c r="P35" s="25">
        <f t="shared" si="1"/>
        <v>0</v>
      </c>
      <c r="Q35" s="5" t="s">
        <v>12</v>
      </c>
    </row>
    <row r="36" spans="1:17" ht="20.25" customHeight="1">
      <c r="A36" s="122"/>
      <c r="B36" s="2" t="s">
        <v>28</v>
      </c>
      <c r="C36" s="3" t="s">
        <v>29</v>
      </c>
      <c r="D36" s="29"/>
      <c r="E36" s="9" t="s">
        <v>31</v>
      </c>
      <c r="F36" s="29"/>
      <c r="G36" s="9" t="s">
        <v>31</v>
      </c>
      <c r="H36" s="29"/>
      <c r="I36" s="9" t="s">
        <v>31</v>
      </c>
      <c r="J36" s="29"/>
      <c r="K36" s="9" t="s">
        <v>31</v>
      </c>
      <c r="L36" s="29"/>
      <c r="M36" s="9" t="s">
        <v>31</v>
      </c>
      <c r="N36" s="29"/>
      <c r="O36" s="9" t="s">
        <v>31</v>
      </c>
      <c r="P36" s="26">
        <f t="shared" si="1"/>
        <v>0</v>
      </c>
      <c r="Q36" s="6" t="s">
        <v>31</v>
      </c>
    </row>
  </sheetData>
  <mergeCells count="40">
    <mergeCell ref="N6:O6"/>
    <mergeCell ref="P5:Q6"/>
    <mergeCell ref="H6:I6"/>
    <mergeCell ref="P2:Q3"/>
    <mergeCell ref="P4:Q4"/>
    <mergeCell ref="J3:O4"/>
    <mergeCell ref="D5:O5"/>
    <mergeCell ref="J2:O2"/>
    <mergeCell ref="H4:I4"/>
    <mergeCell ref="H3:I3"/>
    <mergeCell ref="D2:I2"/>
    <mergeCell ref="F3:G3"/>
    <mergeCell ref="F4:G4"/>
    <mergeCell ref="A21:A27"/>
    <mergeCell ref="B21:C21"/>
    <mergeCell ref="B22:C22"/>
    <mergeCell ref="B23:B27"/>
    <mergeCell ref="J6:K6"/>
    <mergeCell ref="A32:A36"/>
    <mergeCell ref="A28:A31"/>
    <mergeCell ref="B28:C28"/>
    <mergeCell ref="B29:C29"/>
    <mergeCell ref="B30:C30"/>
    <mergeCell ref="B31:C31"/>
    <mergeCell ref="A1:Q1"/>
    <mergeCell ref="A2:C4"/>
    <mergeCell ref="A14:A20"/>
    <mergeCell ref="B14:C14"/>
    <mergeCell ref="D6:E6"/>
    <mergeCell ref="D4:E4"/>
    <mergeCell ref="D3:E3"/>
    <mergeCell ref="A5:C6"/>
    <mergeCell ref="A7:A13"/>
    <mergeCell ref="B7:C7"/>
    <mergeCell ref="B8:C8"/>
    <mergeCell ref="B15:C15"/>
    <mergeCell ref="B16:B20"/>
    <mergeCell ref="B9:B13"/>
    <mergeCell ref="F6:G6"/>
    <mergeCell ref="L6:M6"/>
  </mergeCells>
  <phoneticPr fontId="3"/>
  <printOptions horizontalCentered="1"/>
  <pageMargins left="0.39370078740157483" right="0.35433070866141736" top="0.59055118110236227" bottom="0.59055118110236227" header="0.31496062992125984" footer="0.51181102362204722"/>
  <pageSetup paperSize="9" scale="75" orientation="landscape" r:id="rId1"/>
  <headerFooter alignWithMargins="0">
    <oddHeader>&amp;R&amp;12様式４</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139"/>
  <sheetViews>
    <sheetView view="pageBreakPreview" zoomScale="75" zoomScaleNormal="100" zoomScaleSheetLayoutView="75" workbookViewId="0">
      <selection activeCell="F10" sqref="F10"/>
    </sheetView>
  </sheetViews>
  <sheetFormatPr defaultColWidth="9.375" defaultRowHeight="13.5"/>
  <cols>
    <col min="2" max="2" width="9.375" style="10"/>
    <col min="5" max="5" width="12.625" style="10" customWidth="1"/>
    <col min="6" max="6" width="31.25" style="10" customWidth="1"/>
    <col min="7" max="7" width="12.625" style="10" customWidth="1"/>
    <col min="8" max="8" width="9.625" style="10" bestFit="1" customWidth="1"/>
    <col min="9" max="9" width="9.625" style="10" customWidth="1"/>
    <col min="10" max="10" width="14.625" style="10" bestFit="1" customWidth="1"/>
    <col min="11" max="11" width="9.625" style="10" customWidth="1"/>
    <col min="12" max="12" width="12.5" style="10" bestFit="1" customWidth="1"/>
    <col min="13" max="14" width="9.5" bestFit="1" customWidth="1"/>
    <col min="16" max="17" width="9.5" bestFit="1" customWidth="1"/>
    <col min="19" max="20" width="12.125" bestFit="1" customWidth="1"/>
    <col min="30" max="31" width="12.125" style="63" bestFit="1" customWidth="1"/>
    <col min="34" max="35" width="11" bestFit="1" customWidth="1"/>
    <col min="45" max="46" width="12.125" bestFit="1" customWidth="1"/>
  </cols>
  <sheetData>
    <row r="1" spans="2:31" ht="21.75" customHeight="1">
      <c r="B1" s="42" t="s">
        <v>64</v>
      </c>
    </row>
    <row r="2" spans="2:31" ht="8.25" customHeight="1">
      <c r="B2" s="21"/>
      <c r="K2" s="55"/>
    </row>
    <row r="3" spans="2:31" s="22" customFormat="1" ht="19.899999999999999" customHeight="1">
      <c r="E3" s="23" t="s">
        <v>0</v>
      </c>
      <c r="F3" s="44">
        <f>様式４総括表!J3</f>
        <v>0</v>
      </c>
      <c r="G3" s="45" t="s">
        <v>101</v>
      </c>
      <c r="H3" s="44">
        <f>様式４総括表!D4</f>
        <v>0</v>
      </c>
      <c r="I3" s="182" t="s">
        <v>32</v>
      </c>
      <c r="J3" s="183"/>
      <c r="K3" s="56">
        <v>6</v>
      </c>
      <c r="AD3" s="64"/>
      <c r="AE3" s="64"/>
    </row>
    <row r="4" spans="2:31" ht="8.25" customHeight="1" thickBot="1">
      <c r="J4" s="11"/>
      <c r="K4" s="55"/>
    </row>
    <row r="5" spans="2:31" ht="19.899999999999999" customHeight="1">
      <c r="B5" s="206" t="s">
        <v>33</v>
      </c>
      <c r="C5" s="208" t="s">
        <v>34</v>
      </c>
      <c r="D5" s="209"/>
      <c r="E5" s="210"/>
      <c r="F5" s="214" t="s">
        <v>35</v>
      </c>
      <c r="G5" s="215" t="s">
        <v>36</v>
      </c>
      <c r="H5" s="216"/>
      <c r="I5" s="184" t="s">
        <v>37</v>
      </c>
      <c r="J5" s="185"/>
      <c r="K5" s="200" t="s">
        <v>38</v>
      </c>
      <c r="L5" s="201"/>
    </row>
    <row r="6" spans="2:31" ht="40.5" customHeight="1">
      <c r="B6" s="207"/>
      <c r="C6" s="211"/>
      <c r="D6" s="212"/>
      <c r="E6" s="213"/>
      <c r="F6" s="207"/>
      <c r="G6" s="217"/>
      <c r="H6" s="218"/>
      <c r="I6" s="12" t="s">
        <v>39</v>
      </c>
      <c r="J6" s="13" t="s">
        <v>40</v>
      </c>
      <c r="K6" s="202"/>
      <c r="L6" s="203"/>
    </row>
    <row r="7" spans="2:31" ht="40.5" customHeight="1">
      <c r="B7" s="14" t="s">
        <v>41</v>
      </c>
      <c r="C7" s="204" t="s">
        <v>65</v>
      </c>
      <c r="D7" s="205"/>
      <c r="E7" s="36">
        <f>様式４総括表!P7</f>
        <v>0</v>
      </c>
      <c r="F7" s="30"/>
      <c r="G7" s="43">
        <f>E7</f>
        <v>0</v>
      </c>
      <c r="H7" s="75">
        <f>VLOOKUP(E7,$S$48:$U$92,3)</f>
        <v>397</v>
      </c>
      <c r="I7" s="74" t="s">
        <v>42</v>
      </c>
      <c r="J7" s="73">
        <f>H7</f>
        <v>397</v>
      </c>
      <c r="K7" s="57" t="s">
        <v>77</v>
      </c>
      <c r="L7" s="41">
        <f>J7*0.25</f>
        <v>99.25</v>
      </c>
      <c r="M7" s="15"/>
      <c r="N7" s="16">
        <f>L7</f>
        <v>99.25</v>
      </c>
    </row>
    <row r="8" spans="2:31" ht="40.5" customHeight="1">
      <c r="B8" s="194" t="s">
        <v>43</v>
      </c>
      <c r="C8" s="189" t="s">
        <v>66</v>
      </c>
      <c r="D8" s="190"/>
      <c r="E8" s="37">
        <f>様式４総括表!P30</f>
        <v>0</v>
      </c>
      <c r="F8" s="69" t="s">
        <v>79</v>
      </c>
      <c r="G8" s="68">
        <f>E8</f>
        <v>0</v>
      </c>
      <c r="H8" s="38">
        <f>VLOOKUP(G8,$AD$49:$AF$109,3)</f>
        <v>361</v>
      </c>
      <c r="I8" s="198" t="s">
        <v>42</v>
      </c>
      <c r="J8" s="199">
        <f>H10</f>
        <v>454</v>
      </c>
      <c r="K8" s="197" t="s">
        <v>78</v>
      </c>
      <c r="L8" s="191">
        <f>J8*0.15</f>
        <v>68.099999999999994</v>
      </c>
      <c r="M8" s="15"/>
      <c r="N8" s="16"/>
    </row>
    <row r="9" spans="2:31" ht="40.5" customHeight="1">
      <c r="B9" s="195"/>
      <c r="C9" s="189" t="s">
        <v>76</v>
      </c>
      <c r="D9" s="190"/>
      <c r="E9" s="37">
        <f>様式４総括表!P31</f>
        <v>0</v>
      </c>
      <c r="F9" s="33" t="s">
        <v>44</v>
      </c>
      <c r="G9" s="68">
        <f>IF(E9&lt;0,0,E9)</f>
        <v>0</v>
      </c>
      <c r="H9" s="38">
        <f>VLOOKUP(G9,$AH$49:$AJ$79,3)</f>
        <v>547</v>
      </c>
      <c r="I9" s="198"/>
      <c r="J9" s="199"/>
      <c r="K9" s="197"/>
      <c r="L9" s="192"/>
      <c r="M9" s="15"/>
      <c r="N9" s="16"/>
    </row>
    <row r="10" spans="2:31" ht="40.5" customHeight="1">
      <c r="B10" s="196"/>
      <c r="C10" s="193" t="s">
        <v>85</v>
      </c>
      <c r="D10" s="186"/>
      <c r="E10" s="37"/>
      <c r="F10" s="30"/>
      <c r="G10" s="43"/>
      <c r="H10" s="39">
        <f>INT((H8+H9)/2)</f>
        <v>454</v>
      </c>
      <c r="I10" s="198"/>
      <c r="J10" s="199"/>
      <c r="K10" s="197"/>
      <c r="L10" s="192"/>
      <c r="M10" s="15"/>
      <c r="N10" s="16">
        <f>L8</f>
        <v>68.099999999999994</v>
      </c>
    </row>
    <row r="11" spans="2:31" ht="40.5" customHeight="1">
      <c r="B11" s="31" t="s">
        <v>45</v>
      </c>
      <c r="C11" s="186" t="s">
        <v>46</v>
      </c>
      <c r="D11" s="186"/>
      <c r="E11" s="37">
        <f>様式４総括表!P28</f>
        <v>0</v>
      </c>
      <c r="F11" s="30"/>
      <c r="G11" s="187">
        <f>E11</f>
        <v>0</v>
      </c>
      <c r="H11" s="188"/>
      <c r="I11" s="32" t="s">
        <v>47</v>
      </c>
      <c r="J11" s="40">
        <f>ROUND(E11/K3,0)</f>
        <v>0</v>
      </c>
      <c r="K11" s="58" t="s">
        <v>67</v>
      </c>
      <c r="L11" s="41">
        <f>J11*0.2</f>
        <v>0</v>
      </c>
      <c r="M11" s="15"/>
      <c r="N11" s="16">
        <f>L11</f>
        <v>0</v>
      </c>
    </row>
    <row r="12" spans="2:31" ht="25.5" customHeight="1">
      <c r="B12" s="161" t="s">
        <v>87</v>
      </c>
      <c r="C12" s="164" t="s">
        <v>88</v>
      </c>
      <c r="D12" s="165"/>
      <c r="E12" s="36">
        <f>様式４総括表!P8</f>
        <v>0</v>
      </c>
      <c r="F12" s="30"/>
      <c r="G12" s="43">
        <f>E12</f>
        <v>0</v>
      </c>
      <c r="H12" s="75">
        <f>VLOOKUP(E12,$AS$48:$AU$90,3)</f>
        <v>241</v>
      </c>
      <c r="I12" s="166" t="s">
        <v>99</v>
      </c>
      <c r="J12" s="169">
        <f>H19</f>
        <v>456</v>
      </c>
      <c r="K12" s="176" t="s">
        <v>98</v>
      </c>
      <c r="L12" s="179">
        <f>J12*0.25</f>
        <v>114</v>
      </c>
      <c r="M12" s="15"/>
      <c r="N12" s="16"/>
    </row>
    <row r="13" spans="2:31" s="10" customFormat="1" ht="25.5" customHeight="1">
      <c r="B13" s="162"/>
      <c r="C13" s="172" t="s">
        <v>48</v>
      </c>
      <c r="D13" s="76" t="s">
        <v>89</v>
      </c>
      <c r="E13" s="37">
        <f>様式４総括表!P9</f>
        <v>0</v>
      </c>
      <c r="F13" s="30" t="s">
        <v>93</v>
      </c>
      <c r="G13" s="91">
        <f>E13*6</f>
        <v>0</v>
      </c>
      <c r="H13" s="39"/>
      <c r="I13" s="167"/>
      <c r="J13" s="170"/>
      <c r="K13" s="177"/>
      <c r="L13" s="180"/>
      <c r="M13" s="15"/>
      <c r="N13" s="16"/>
      <c r="AD13" s="65"/>
      <c r="AE13" s="65"/>
    </row>
    <row r="14" spans="2:31" s="10" customFormat="1" ht="25.5" customHeight="1">
      <c r="B14" s="162"/>
      <c r="C14" s="172"/>
      <c r="D14" s="76" t="s">
        <v>90</v>
      </c>
      <c r="E14" s="37">
        <f>様式４総括表!P10</f>
        <v>0</v>
      </c>
      <c r="F14" s="30" t="s">
        <v>49</v>
      </c>
      <c r="G14" s="91">
        <f>E14*5</f>
        <v>0</v>
      </c>
      <c r="H14" s="39"/>
      <c r="I14" s="167"/>
      <c r="J14" s="170"/>
      <c r="K14" s="177"/>
      <c r="L14" s="180"/>
      <c r="M14" s="15"/>
      <c r="N14" s="16"/>
      <c r="AD14" s="65"/>
      <c r="AE14" s="65"/>
    </row>
    <row r="15" spans="2:31" s="10" customFormat="1" ht="25.5" customHeight="1">
      <c r="B15" s="162"/>
      <c r="C15" s="172"/>
      <c r="D15" s="76" t="s">
        <v>91</v>
      </c>
      <c r="E15" s="37">
        <f>様式４総括表!P11</f>
        <v>0</v>
      </c>
      <c r="F15" s="30" t="s">
        <v>92</v>
      </c>
      <c r="G15" s="91">
        <f>E15*3</f>
        <v>0</v>
      </c>
      <c r="H15" s="39"/>
      <c r="I15" s="167"/>
      <c r="J15" s="170"/>
      <c r="K15" s="177"/>
      <c r="L15" s="180"/>
      <c r="M15" s="15"/>
      <c r="N15" s="16"/>
      <c r="AD15" s="65"/>
      <c r="AE15" s="65"/>
    </row>
    <row r="16" spans="2:31" s="10" customFormat="1" ht="25.5" customHeight="1">
      <c r="B16" s="162"/>
      <c r="C16" s="173"/>
      <c r="D16" s="76" t="s">
        <v>50</v>
      </c>
      <c r="E16" s="37">
        <f>様式４総括表!P12</f>
        <v>0</v>
      </c>
      <c r="F16" s="30" t="s">
        <v>51</v>
      </c>
      <c r="G16" s="91">
        <f>E16*2</f>
        <v>0</v>
      </c>
      <c r="H16" s="39"/>
      <c r="I16" s="167"/>
      <c r="J16" s="170"/>
      <c r="K16" s="177"/>
      <c r="L16" s="180"/>
      <c r="M16" s="15"/>
      <c r="N16" s="16">
        <f>L16</f>
        <v>0</v>
      </c>
      <c r="AD16" s="65"/>
      <c r="AE16" s="65"/>
    </row>
    <row r="17" spans="2:31" s="10" customFormat="1" ht="25.5" customHeight="1">
      <c r="B17" s="162"/>
      <c r="C17" s="173"/>
      <c r="D17" s="76" t="s">
        <v>52</v>
      </c>
      <c r="E17" s="37">
        <f>様式４総括表!P13</f>
        <v>0</v>
      </c>
      <c r="F17" s="30" t="s">
        <v>53</v>
      </c>
      <c r="G17" s="91">
        <f>E17</f>
        <v>0</v>
      </c>
      <c r="H17" s="39"/>
      <c r="I17" s="167"/>
      <c r="J17" s="170"/>
      <c r="K17" s="177"/>
      <c r="L17" s="180"/>
      <c r="M17" s="15">
        <f>SUM(E13:E17)</f>
        <v>0</v>
      </c>
      <c r="N17" s="17">
        <f>VLOOKUP(M17,$Z$48:$AA$77,2)*0.2</f>
        <v>118</v>
      </c>
      <c r="P17" s="10">
        <v>100000</v>
      </c>
      <c r="Q17" s="10">
        <f>VLOOKUP(P17,$S$48:$U$92,2)</f>
        <v>120000</v>
      </c>
      <c r="AD17" s="65"/>
      <c r="AE17" s="65"/>
    </row>
    <row r="18" spans="2:31" s="10" customFormat="1" ht="25.5" customHeight="1">
      <c r="B18" s="162"/>
      <c r="C18" s="173"/>
      <c r="D18" s="31" t="s">
        <v>54</v>
      </c>
      <c r="E18" s="37"/>
      <c r="F18" s="30"/>
      <c r="G18" s="91">
        <f>SUM(G13:G17)</f>
        <v>0</v>
      </c>
      <c r="H18" s="38">
        <f>VLOOKUP(G18,$AO$45:$AQ$77,3)</f>
        <v>510</v>
      </c>
      <c r="I18" s="167"/>
      <c r="J18" s="170"/>
      <c r="K18" s="177"/>
      <c r="L18" s="180"/>
      <c r="M18" s="15"/>
      <c r="N18" s="17"/>
      <c r="AD18" s="65"/>
      <c r="AE18" s="65"/>
    </row>
    <row r="19" spans="2:31" s="10" customFormat="1" ht="25.5" customHeight="1">
      <c r="B19" s="163"/>
      <c r="C19" s="174" t="s">
        <v>100</v>
      </c>
      <c r="D19" s="175"/>
      <c r="E19" s="47"/>
      <c r="F19" s="48"/>
      <c r="G19" s="88"/>
      <c r="H19" s="89">
        <f>INT(H12*0.2)+INT(H18*0.8)</f>
        <v>456</v>
      </c>
      <c r="I19" s="168"/>
      <c r="J19" s="171"/>
      <c r="K19" s="178"/>
      <c r="L19" s="181"/>
      <c r="M19" s="15"/>
      <c r="N19" s="17"/>
      <c r="AD19" s="65"/>
      <c r="AE19" s="65"/>
    </row>
    <row r="20" spans="2:31" s="10" customFormat="1" ht="40.5" customHeight="1" thickBot="1">
      <c r="B20" s="46" t="s">
        <v>55</v>
      </c>
      <c r="C20" s="152" t="s">
        <v>56</v>
      </c>
      <c r="D20" s="153"/>
      <c r="E20" s="47">
        <f>様式４総括表!P29</f>
        <v>0</v>
      </c>
      <c r="F20" s="48"/>
      <c r="G20" s="154">
        <f>E20</f>
        <v>0</v>
      </c>
      <c r="H20" s="155"/>
      <c r="I20" s="51" t="s">
        <v>47</v>
      </c>
      <c r="J20" s="49">
        <f>ROUND(E20/K3,0)</f>
        <v>0</v>
      </c>
      <c r="K20" s="87" t="s">
        <v>68</v>
      </c>
      <c r="L20" s="50">
        <f>J20*0.15</f>
        <v>0</v>
      </c>
      <c r="M20" s="15"/>
      <c r="N20" s="16">
        <f>L20</f>
        <v>0</v>
      </c>
      <c r="AD20" s="65"/>
      <c r="AE20" s="65"/>
    </row>
    <row r="21" spans="2:31" ht="35.25" customHeight="1" thickTop="1" thickBot="1">
      <c r="B21" s="156" t="s">
        <v>71</v>
      </c>
      <c r="C21" s="157"/>
      <c r="D21" s="157"/>
      <c r="E21" s="157"/>
      <c r="F21" s="157"/>
      <c r="G21" s="157"/>
      <c r="H21" s="157"/>
      <c r="I21" s="157"/>
      <c r="J21" s="158"/>
      <c r="K21" s="159">
        <f>SUM(L7:L20)</f>
        <v>281.35000000000002</v>
      </c>
      <c r="L21" s="160"/>
      <c r="M21" s="15"/>
      <c r="N21" s="15"/>
    </row>
    <row r="22" spans="2:31" ht="19.899999999999999" customHeight="1">
      <c r="K22" s="55"/>
      <c r="M22" s="15"/>
      <c r="N22" s="15"/>
    </row>
    <row r="23" spans="2:31" ht="19.899999999999999" customHeight="1" thickBot="1">
      <c r="I23" s="18"/>
      <c r="J23" s="18"/>
      <c r="K23" s="59"/>
      <c r="M23" s="15"/>
      <c r="N23" s="15">
        <f>ROUND((N7+N17+N10+N11+N20),0)</f>
        <v>285</v>
      </c>
    </row>
    <row r="24" spans="2:31" ht="19.899999999999999" customHeight="1" thickTop="1" thickBot="1">
      <c r="K24" s="60" t="s">
        <v>70</v>
      </c>
      <c r="L24" s="92">
        <f>ROUND((L7+L12+L8+L11+L20),0)</f>
        <v>281</v>
      </c>
    </row>
    <row r="25" spans="2:31" ht="19.899999999999999" customHeight="1" thickTop="1">
      <c r="K25" s="61" t="s">
        <v>72</v>
      </c>
    </row>
    <row r="26" spans="2:31" ht="19.899999999999999" customHeight="1">
      <c r="K26" s="55"/>
    </row>
    <row r="27" spans="2:31" ht="19.899999999999999" customHeight="1">
      <c r="K27" s="55"/>
    </row>
    <row r="28" spans="2:31" ht="19.899999999999999" customHeight="1">
      <c r="K28" s="55"/>
    </row>
    <row r="29" spans="2:31" ht="19.899999999999999" customHeight="1">
      <c r="K29" s="55"/>
    </row>
    <row r="30" spans="2:31" ht="19.899999999999999" customHeight="1">
      <c r="K30" s="55"/>
    </row>
    <row r="31" spans="2:31" ht="19.899999999999999" customHeight="1">
      <c r="K31" s="55"/>
    </row>
    <row r="32" spans="2:31" ht="19.899999999999999" customHeight="1">
      <c r="K32" s="55"/>
    </row>
    <row r="33" spans="2:47" ht="19.899999999999999" customHeight="1">
      <c r="K33" s="55"/>
    </row>
    <row r="34" spans="2:47" ht="19.899999999999999" customHeight="1">
      <c r="K34" s="55"/>
    </row>
    <row r="35" spans="2:47" ht="19.899999999999999" customHeight="1">
      <c r="K35" s="55"/>
    </row>
    <row r="36" spans="2:47" ht="19.899999999999999" customHeight="1">
      <c r="K36" s="55"/>
    </row>
    <row r="37" spans="2:47" ht="19.899999999999999" customHeight="1">
      <c r="K37" s="55"/>
    </row>
    <row r="38" spans="2:47" ht="19.899999999999999" customHeight="1">
      <c r="K38" s="55"/>
    </row>
    <row r="39" spans="2:47" ht="19.899999999999999" customHeight="1">
      <c r="K39" s="55"/>
    </row>
    <row r="40" spans="2:47" ht="19.899999999999999" customHeight="1">
      <c r="K40" s="55"/>
    </row>
    <row r="41" spans="2:47" ht="19.899999999999999" customHeight="1">
      <c r="K41" s="55"/>
    </row>
    <row r="42" spans="2:47" ht="19.899999999999999" customHeight="1">
      <c r="K42" s="55"/>
    </row>
    <row r="43" spans="2:47" ht="19.899999999999999" customHeight="1">
      <c r="K43" s="55"/>
    </row>
    <row r="44" spans="2:47" ht="19.899999999999999" customHeight="1">
      <c r="K44" s="55"/>
    </row>
    <row r="45" spans="2:47" ht="19.899999999999999" customHeight="1">
      <c r="K45" s="55"/>
    </row>
    <row r="46" spans="2:47" ht="19.899999999999999" customHeight="1">
      <c r="K46" s="55"/>
    </row>
    <row r="47" spans="2:47" s="52" customFormat="1">
      <c r="B47" s="53"/>
      <c r="E47" s="53"/>
      <c r="F47" s="53"/>
      <c r="G47" s="53"/>
      <c r="H47" s="53"/>
      <c r="I47" s="53"/>
      <c r="J47" s="53"/>
      <c r="K47" s="53"/>
      <c r="L47" s="53"/>
      <c r="S47" s="52" t="s">
        <v>73</v>
      </c>
      <c r="Z47" s="52" t="s">
        <v>74</v>
      </c>
      <c r="AD47" s="66"/>
      <c r="AE47" s="67"/>
      <c r="AF47" s="54"/>
      <c r="AG47" s="54"/>
      <c r="AH47" s="54"/>
      <c r="AI47" s="54"/>
      <c r="AK47" s="54"/>
      <c r="AL47" s="54"/>
      <c r="AM47" s="54"/>
    </row>
    <row r="48" spans="2:47">
      <c r="S48" s="34">
        <v>0</v>
      </c>
      <c r="T48" s="34">
        <v>10000</v>
      </c>
      <c r="U48" s="62">
        <f>ROUNDDOWN(131*$E$7/10000+397,0)</f>
        <v>397</v>
      </c>
      <c r="Z48">
        <v>0</v>
      </c>
      <c r="AA48">
        <v>590</v>
      </c>
      <c r="AD48" s="66" t="s">
        <v>57</v>
      </c>
      <c r="AE48" s="67"/>
      <c r="AF48" s="54" t="s">
        <v>58</v>
      </c>
      <c r="AG48" s="54"/>
      <c r="AH48" s="54" t="s">
        <v>80</v>
      </c>
      <c r="AI48" s="52"/>
      <c r="AJ48" s="54" t="s">
        <v>59</v>
      </c>
      <c r="AK48" s="54"/>
      <c r="AL48" s="54" t="s">
        <v>60</v>
      </c>
      <c r="AM48" s="54" t="s">
        <v>61</v>
      </c>
      <c r="AO48" s="66" t="s">
        <v>81</v>
      </c>
      <c r="AP48" s="67"/>
      <c r="AQ48" s="54" t="s">
        <v>82</v>
      </c>
      <c r="AR48" s="54"/>
      <c r="AS48" s="54" t="s">
        <v>84</v>
      </c>
      <c r="AT48" s="52"/>
      <c r="AU48" s="54" t="s">
        <v>83</v>
      </c>
    </row>
    <row r="49" spans="19:47">
      <c r="S49" s="34">
        <v>10000</v>
      </c>
      <c r="T49" s="34">
        <v>12000</v>
      </c>
      <c r="U49" s="62">
        <f>ROUNDDOWN(11*$E$7/2000+473,0)</f>
        <v>473</v>
      </c>
      <c r="W49">
        <v>1450</v>
      </c>
      <c r="X49">
        <f>VLOOKUP(W49,$Z$48:$AA$77,2)</f>
        <v>1777</v>
      </c>
      <c r="Z49">
        <v>5</v>
      </c>
      <c r="AA49">
        <v>652</v>
      </c>
      <c r="AD49" s="34">
        <v>0</v>
      </c>
      <c r="AE49" s="34">
        <v>10000</v>
      </c>
      <c r="AF49" s="62">
        <f>ROUNDDOWN(223*$E$8/10000+361,0)</f>
        <v>361</v>
      </c>
      <c r="AG49" s="19"/>
      <c r="AH49" s="70">
        <v>0</v>
      </c>
      <c r="AI49" s="70">
        <v>10000</v>
      </c>
      <c r="AJ49" s="62">
        <f>ROUNDDOWN(78*$G$9/10000+547,0)</f>
        <v>547</v>
      </c>
      <c r="AK49" s="19"/>
      <c r="AL49" s="19">
        <v>90</v>
      </c>
      <c r="AM49" s="19">
        <v>118</v>
      </c>
      <c r="AO49" s="34">
        <v>0</v>
      </c>
      <c r="AP49" s="34">
        <v>5</v>
      </c>
      <c r="AQ49" s="72">
        <f>ROUNDDOWN(62*$G$18/5+510,0)</f>
        <v>510</v>
      </c>
      <c r="AS49" s="34">
        <v>0</v>
      </c>
      <c r="AT49" s="34">
        <v>10000</v>
      </c>
      <c r="AU49" s="62">
        <f>ROUNDDOWN(341*$G$12/10000+241,0)</f>
        <v>241</v>
      </c>
    </row>
    <row r="50" spans="19:47">
      <c r="S50" s="34">
        <v>12000</v>
      </c>
      <c r="T50" s="34">
        <v>15000</v>
      </c>
      <c r="U50" s="62">
        <f>ROUNDDOWN(14*$E$7/3000+483,0)</f>
        <v>483</v>
      </c>
      <c r="W50" t="s">
        <v>62</v>
      </c>
      <c r="Z50">
        <v>10</v>
      </c>
      <c r="AA50">
        <v>715</v>
      </c>
      <c r="AD50" s="34">
        <v>10000</v>
      </c>
      <c r="AE50" s="34">
        <v>12000</v>
      </c>
      <c r="AF50" s="62">
        <f>ROUNDDOWN(8*$E$8/2000+544,0)</f>
        <v>544</v>
      </c>
      <c r="AG50" s="19"/>
      <c r="AH50" s="70">
        <v>10000</v>
      </c>
      <c r="AI50" s="70">
        <v>12000</v>
      </c>
      <c r="AJ50" s="62">
        <f>ROUNDDOWN(6*$G$9/2000+595,0)</f>
        <v>595</v>
      </c>
      <c r="AK50" s="19"/>
      <c r="AL50" s="19">
        <v>91</v>
      </c>
      <c r="AM50" s="19">
        <v>127</v>
      </c>
      <c r="AO50" s="34">
        <v>5</v>
      </c>
      <c r="AP50" s="34">
        <v>10</v>
      </c>
      <c r="AQ50" s="72">
        <f>ROUNDDOWN(63*$G$18/5+509,0)</f>
        <v>509</v>
      </c>
      <c r="AS50" s="34">
        <v>10000</v>
      </c>
      <c r="AT50" s="34">
        <v>12000</v>
      </c>
      <c r="AU50" s="62">
        <f>ROUNDDOWN(16*$G$12/2000+502,0)</f>
        <v>502</v>
      </c>
    </row>
    <row r="51" spans="19:47">
      <c r="S51" s="34">
        <v>15000</v>
      </c>
      <c r="T51" s="34">
        <v>20000</v>
      </c>
      <c r="U51" s="62">
        <f>ROUNDDOWN(20*$E$7/5000+493,0)</f>
        <v>493</v>
      </c>
      <c r="W51" t="s">
        <v>62</v>
      </c>
      <c r="Z51">
        <v>15</v>
      </c>
      <c r="AA51">
        <v>777</v>
      </c>
      <c r="AD51" s="34">
        <v>12000</v>
      </c>
      <c r="AE51" s="34">
        <v>15000</v>
      </c>
      <c r="AF51" s="62">
        <f>ROUNDDOWN(11*$E$8/3000+548,0)</f>
        <v>548</v>
      </c>
      <c r="AG51" s="19"/>
      <c r="AH51" s="70">
        <v>12000</v>
      </c>
      <c r="AI51" s="70">
        <v>15000</v>
      </c>
      <c r="AJ51" s="62">
        <f>ROUNDDOWN(7*$G$9/3000+603,0)</f>
        <v>603</v>
      </c>
      <c r="AK51" s="19"/>
      <c r="AL51" s="19">
        <v>92</v>
      </c>
      <c r="AM51" s="19">
        <v>137</v>
      </c>
      <c r="AO51" s="34">
        <v>10</v>
      </c>
      <c r="AP51" s="34">
        <v>15</v>
      </c>
      <c r="AQ51" s="72">
        <f>ROUNDDOWN(62*$G$18/5+511,0)</f>
        <v>511</v>
      </c>
      <c r="AS51" s="34">
        <v>12000</v>
      </c>
      <c r="AT51" s="34">
        <v>15000</v>
      </c>
      <c r="AU51" s="62">
        <f>ROUNDDOWN(19*$G$12/3000+522,0)</f>
        <v>522</v>
      </c>
    </row>
    <row r="52" spans="19:47">
      <c r="S52" s="34">
        <v>20000</v>
      </c>
      <c r="T52" s="34">
        <v>25000</v>
      </c>
      <c r="U52" s="62">
        <f>ROUNDDOWN(16*$E$7/5000+509,0)</f>
        <v>509</v>
      </c>
      <c r="W52" t="s">
        <v>62</v>
      </c>
      <c r="Z52">
        <v>20</v>
      </c>
      <c r="AA52">
        <v>840</v>
      </c>
      <c r="AD52" s="34">
        <v>15000</v>
      </c>
      <c r="AE52" s="34">
        <v>20000</v>
      </c>
      <c r="AF52" s="62">
        <f>ROUNDDOWN(14*$E$8/5000+561,0)</f>
        <v>561</v>
      </c>
      <c r="AG52" s="19"/>
      <c r="AH52" s="70">
        <v>15000</v>
      </c>
      <c r="AI52" s="70">
        <v>20000</v>
      </c>
      <c r="AJ52" s="62">
        <f>ROUNDDOWN(11*$G$9/5000+605,0)</f>
        <v>605</v>
      </c>
      <c r="AK52" s="19"/>
      <c r="AL52" s="19">
        <v>93</v>
      </c>
      <c r="AM52" s="19">
        <v>146</v>
      </c>
      <c r="AO52" s="34">
        <v>15</v>
      </c>
      <c r="AP52" s="34">
        <v>20</v>
      </c>
      <c r="AQ52" s="72">
        <f>ROUNDDOWN(63*$G$18/5+508,0)</f>
        <v>508</v>
      </c>
      <c r="AS52" s="34">
        <v>15000</v>
      </c>
      <c r="AT52" s="34">
        <v>20000</v>
      </c>
      <c r="AU52" s="62">
        <f>ROUNDDOWN(28*$G$12/5000+533,0)</f>
        <v>533</v>
      </c>
    </row>
    <row r="53" spans="19:47">
      <c r="S53" s="34">
        <v>25000</v>
      </c>
      <c r="T53" s="34">
        <v>30000</v>
      </c>
      <c r="U53" s="62">
        <f>ROUNDDOWN(13*$E$7/5000+524,0)</f>
        <v>524</v>
      </c>
      <c r="Z53">
        <v>30</v>
      </c>
      <c r="AA53">
        <v>902</v>
      </c>
      <c r="AD53" s="34">
        <v>20000</v>
      </c>
      <c r="AE53" s="34">
        <v>25000</v>
      </c>
      <c r="AF53" s="62">
        <f>ROUNDDOWN(12*$E$8/5000+569,0)</f>
        <v>569</v>
      </c>
      <c r="AG53" s="19"/>
      <c r="AH53" s="70">
        <v>20000</v>
      </c>
      <c r="AI53" s="70">
        <v>25000</v>
      </c>
      <c r="AJ53" s="62">
        <f>ROUNDDOWN(10*$G$9/5000+609,0)</f>
        <v>609</v>
      </c>
      <c r="AK53" s="19"/>
      <c r="AL53" s="19">
        <v>94</v>
      </c>
      <c r="AM53" s="19">
        <v>155</v>
      </c>
      <c r="AO53" s="34">
        <v>20</v>
      </c>
      <c r="AP53" s="34">
        <v>30</v>
      </c>
      <c r="AQ53" s="72">
        <f>ROUNDDOWN(62*$G$18/10+636,0)</f>
        <v>636</v>
      </c>
      <c r="AS53" s="34">
        <v>20000</v>
      </c>
      <c r="AT53" s="34">
        <v>25000</v>
      </c>
      <c r="AU53" s="62">
        <f>ROUNDDOWN(23*$G$12/5000+553,0)</f>
        <v>553</v>
      </c>
    </row>
    <row r="54" spans="19:47">
      <c r="S54" s="34">
        <v>30000</v>
      </c>
      <c r="T54" s="34">
        <v>40000</v>
      </c>
      <c r="U54" s="62">
        <f>ROUNDDOWN(24*$E$7/10000+530,0)</f>
        <v>530</v>
      </c>
      <c r="Z54">
        <v>40</v>
      </c>
      <c r="AA54">
        <v>965</v>
      </c>
      <c r="AD54" s="34">
        <v>25000</v>
      </c>
      <c r="AE54" s="34">
        <v>30000</v>
      </c>
      <c r="AF54" s="62">
        <f>ROUNDDOWN(10*$E$8/5000+579,0)</f>
        <v>579</v>
      </c>
      <c r="AG54" s="19"/>
      <c r="AH54" s="70">
        <v>25000</v>
      </c>
      <c r="AI54" s="70">
        <v>30000</v>
      </c>
      <c r="AJ54" s="62">
        <f>ROUNDDOWN(8*$G$9/5000+619,0)</f>
        <v>619</v>
      </c>
      <c r="AK54" s="19"/>
      <c r="AL54" s="19">
        <v>95</v>
      </c>
      <c r="AM54" s="19">
        <v>164</v>
      </c>
      <c r="AO54" s="34">
        <v>30</v>
      </c>
      <c r="AP54" s="34">
        <v>40</v>
      </c>
      <c r="AQ54" s="72">
        <f>ROUNDDOWN(63*$G$18/10+633,0)</f>
        <v>633</v>
      </c>
      <c r="AS54" s="34">
        <v>25000</v>
      </c>
      <c r="AT54" s="34">
        <v>30000</v>
      </c>
      <c r="AU54" s="62">
        <f>ROUNDDOWN(19*$G$12/5000+573,0)</f>
        <v>573</v>
      </c>
    </row>
    <row r="55" spans="19:47">
      <c r="S55" s="34">
        <v>40000</v>
      </c>
      <c r="T55" s="34">
        <v>50000</v>
      </c>
      <c r="U55" s="62">
        <f>ROUNDDOWN(19*$E$7/10000+550,0)</f>
        <v>550</v>
      </c>
      <c r="Z55">
        <v>50</v>
      </c>
      <c r="AA55">
        <v>1028</v>
      </c>
      <c r="AD55" s="34">
        <v>30000</v>
      </c>
      <c r="AE55" s="34">
        <v>40000</v>
      </c>
      <c r="AF55" s="62">
        <f>ROUNDDOWN(16*$E$8/10000+591,0)</f>
        <v>591</v>
      </c>
      <c r="AG55" s="19"/>
      <c r="AH55" s="70">
        <v>30000</v>
      </c>
      <c r="AI55" s="70">
        <v>40000</v>
      </c>
      <c r="AJ55" s="62">
        <f>ROUNDDOWN(15*$G$9/10000+622,0)</f>
        <v>622</v>
      </c>
      <c r="AK55" s="19"/>
      <c r="AL55" s="19">
        <v>96</v>
      </c>
      <c r="AM55" s="19">
        <v>174</v>
      </c>
      <c r="AO55" s="34">
        <v>40</v>
      </c>
      <c r="AP55" s="34">
        <v>50</v>
      </c>
      <c r="AQ55" s="72">
        <f>ROUNDDOWN(63*$G$18/10+633,0)</f>
        <v>633</v>
      </c>
      <c r="AS55" s="34">
        <v>30000</v>
      </c>
      <c r="AT55" s="34">
        <v>40000</v>
      </c>
      <c r="AU55" s="62">
        <f>ROUNDDOWN(31*$G$12/10000+594,0)</f>
        <v>594</v>
      </c>
    </row>
    <row r="56" spans="19:47">
      <c r="S56" s="34">
        <v>50000</v>
      </c>
      <c r="T56" s="34">
        <v>60000</v>
      </c>
      <c r="U56" s="62">
        <f>ROUNDDOWN(16*$E$7/10000+565,0)</f>
        <v>565</v>
      </c>
      <c r="Z56">
        <v>65</v>
      </c>
      <c r="AA56">
        <v>1090</v>
      </c>
      <c r="AD56" s="34">
        <v>40000</v>
      </c>
      <c r="AE56" s="34">
        <v>50000</v>
      </c>
      <c r="AF56" s="62">
        <f>ROUNDDOWN(14*$E$8/10000+599,0)</f>
        <v>599</v>
      </c>
      <c r="AG56" s="19"/>
      <c r="AH56" s="70">
        <v>40000</v>
      </c>
      <c r="AI56" s="70">
        <v>50000</v>
      </c>
      <c r="AJ56" s="62">
        <f>ROUNDDOWN(12*$G$9/10000+634,0)</f>
        <v>634</v>
      </c>
      <c r="AK56" s="19"/>
      <c r="AL56" s="19">
        <v>97</v>
      </c>
      <c r="AM56" s="19">
        <v>183</v>
      </c>
      <c r="AO56" s="34">
        <v>50</v>
      </c>
      <c r="AP56" s="34">
        <v>65</v>
      </c>
      <c r="AQ56" s="72">
        <f>ROUNDDOWN(62*$G$18/15+742,0)</f>
        <v>742</v>
      </c>
      <c r="AS56" s="34">
        <v>40000</v>
      </c>
      <c r="AT56" s="34">
        <v>50000</v>
      </c>
      <c r="AU56" s="62">
        <f>ROUNDDOWN(27*$G$12/10000+610,0)</f>
        <v>610</v>
      </c>
    </row>
    <row r="57" spans="19:47">
      <c r="S57" s="34">
        <v>60000</v>
      </c>
      <c r="T57" s="34">
        <v>80000</v>
      </c>
      <c r="U57" s="62">
        <f>ROUNDDOWN(28*$E$7/20000+577,0)</f>
        <v>577</v>
      </c>
      <c r="Z57">
        <v>85</v>
      </c>
      <c r="AA57">
        <v>1152</v>
      </c>
      <c r="AD57" s="34">
        <v>50000</v>
      </c>
      <c r="AE57" s="34">
        <v>60000</v>
      </c>
      <c r="AF57" s="62">
        <f>ROUNDDOWN(11*$E$8/10000+614,0)</f>
        <v>614</v>
      </c>
      <c r="AG57" s="19"/>
      <c r="AH57" s="70">
        <v>50000</v>
      </c>
      <c r="AI57" s="70">
        <v>60000</v>
      </c>
      <c r="AJ57" s="62">
        <f>ROUNDDOWN(12*$G$9/10000+634,0)</f>
        <v>634</v>
      </c>
      <c r="AK57" s="19"/>
      <c r="AL57" s="19">
        <v>98</v>
      </c>
      <c r="AM57" s="19">
        <v>192</v>
      </c>
      <c r="AO57" s="34">
        <v>65</v>
      </c>
      <c r="AP57" s="34">
        <v>85</v>
      </c>
      <c r="AQ57" s="72">
        <f>ROUNDDOWN(62*$G$18/20+810,0)</f>
        <v>810</v>
      </c>
      <c r="AS57" s="34">
        <v>50000</v>
      </c>
      <c r="AT57" s="34">
        <v>60000</v>
      </c>
      <c r="AU57" s="62">
        <f>ROUNDDOWN(22*$G$12/10000+635,0)</f>
        <v>635</v>
      </c>
    </row>
    <row r="58" spans="19:47">
      <c r="S58" s="34">
        <v>80000</v>
      </c>
      <c r="T58" s="34">
        <v>100000</v>
      </c>
      <c r="U58" s="62">
        <f>ROUNDDOWN(22*$E$7/20000+601,0)</f>
        <v>601</v>
      </c>
      <c r="Z58">
        <v>110</v>
      </c>
      <c r="AA58">
        <v>1215</v>
      </c>
      <c r="AD58" s="34">
        <v>60000</v>
      </c>
      <c r="AE58" s="34">
        <v>80000</v>
      </c>
      <c r="AF58" s="62">
        <f>ROUNDDOWN(19*$E$8/20000+623,0)</f>
        <v>623</v>
      </c>
      <c r="AG58" s="19"/>
      <c r="AH58" s="70">
        <v>60000</v>
      </c>
      <c r="AI58" s="70">
        <v>80000</v>
      </c>
      <c r="AJ58" s="62">
        <f>ROUNDDOWN(19*$G$9/20000+649,0)</f>
        <v>649</v>
      </c>
      <c r="AK58" s="19"/>
      <c r="AL58" s="19">
        <v>99</v>
      </c>
      <c r="AM58" s="19">
        <v>202</v>
      </c>
      <c r="AO58" s="34">
        <v>85</v>
      </c>
      <c r="AP58" s="34">
        <v>110</v>
      </c>
      <c r="AQ58" s="72">
        <f>ROUNDDOWN(63*$G$18/25+860,0)</f>
        <v>860</v>
      </c>
      <c r="AS58" s="34">
        <v>60000</v>
      </c>
      <c r="AT58" s="34">
        <v>80000</v>
      </c>
      <c r="AU58" s="62">
        <f>ROUNDDOWN(36*$G$12/20000+659,0)</f>
        <v>659</v>
      </c>
    </row>
    <row r="59" spans="19:47">
      <c r="S59" s="34">
        <v>100000</v>
      </c>
      <c r="T59" s="34">
        <v>120000</v>
      </c>
      <c r="U59" s="62">
        <f>ROUNDDOWN(19*$E$7/20000+616,0)</f>
        <v>616</v>
      </c>
      <c r="Z59">
        <v>140</v>
      </c>
      <c r="AA59">
        <v>1278</v>
      </c>
      <c r="AD59" s="34">
        <v>80000</v>
      </c>
      <c r="AE59" s="34">
        <v>100000</v>
      </c>
      <c r="AF59" s="62">
        <f>ROUNDDOWN(16*$E$8/20000+635,0)</f>
        <v>635</v>
      </c>
      <c r="AG59" s="19"/>
      <c r="AH59" s="70">
        <v>80000</v>
      </c>
      <c r="AI59" s="70">
        <v>100000</v>
      </c>
      <c r="AJ59" s="62">
        <f>ROUNDDOWN(16*$G$9/20000+661,0)</f>
        <v>661</v>
      </c>
      <c r="AK59" s="19"/>
      <c r="AL59" s="19">
        <v>100</v>
      </c>
      <c r="AM59" s="19">
        <v>211</v>
      </c>
      <c r="AO59" s="34">
        <v>110</v>
      </c>
      <c r="AP59" s="34">
        <v>140</v>
      </c>
      <c r="AQ59" s="72">
        <f>ROUNDDOWN(63*$G$18/30+907,0)</f>
        <v>907</v>
      </c>
      <c r="AS59" s="34">
        <v>80000</v>
      </c>
      <c r="AT59" s="34">
        <v>100000</v>
      </c>
      <c r="AU59" s="62">
        <f>ROUNDDOWN(29*$G$12/20000+687,0)</f>
        <v>687</v>
      </c>
    </row>
    <row r="60" spans="19:47">
      <c r="S60" s="34">
        <v>120000</v>
      </c>
      <c r="T60" s="34">
        <v>150000</v>
      </c>
      <c r="U60" s="62">
        <f>ROUNDDOWN(26*$E$7/30000+626,0)</f>
        <v>626</v>
      </c>
      <c r="Z60">
        <v>180</v>
      </c>
      <c r="AA60">
        <v>1340</v>
      </c>
      <c r="AD60" s="34">
        <v>100000</v>
      </c>
      <c r="AE60" s="34">
        <v>120000</v>
      </c>
      <c r="AF60" s="62">
        <f>ROUNDDOWN(13*$E$8/20000+650,0)</f>
        <v>650</v>
      </c>
      <c r="AG60" s="19"/>
      <c r="AH60" s="70">
        <v>100000</v>
      </c>
      <c r="AI60" s="70">
        <v>120000</v>
      </c>
      <c r="AJ60" s="62">
        <f>ROUNDDOWN(15*$G$9/20000+666,0)</f>
        <v>666</v>
      </c>
      <c r="AK60" s="19"/>
      <c r="AL60" s="19">
        <v>101</v>
      </c>
      <c r="AM60" s="19">
        <v>220</v>
      </c>
      <c r="AO60" s="34">
        <v>140</v>
      </c>
      <c r="AP60" s="34">
        <v>180</v>
      </c>
      <c r="AQ60" s="72">
        <f>ROUNDDOWN(62*$G$18/40+984,0)</f>
        <v>984</v>
      </c>
      <c r="AS60" s="34">
        <v>100000</v>
      </c>
      <c r="AT60" s="34">
        <v>120000</v>
      </c>
      <c r="AU60" s="62">
        <f>ROUNDDOWN(26*$G$12/20000+702,0)</f>
        <v>702</v>
      </c>
    </row>
    <row r="61" spans="19:47">
      <c r="S61" s="34">
        <v>150000</v>
      </c>
      <c r="T61" s="34">
        <v>200000</v>
      </c>
      <c r="U61" s="62">
        <f>ROUNDDOWN(34*$E$7/50000+654,0)</f>
        <v>654</v>
      </c>
      <c r="Z61">
        <v>230</v>
      </c>
      <c r="AA61">
        <v>1402</v>
      </c>
      <c r="AD61" s="34">
        <v>120000</v>
      </c>
      <c r="AE61" s="34">
        <v>150000</v>
      </c>
      <c r="AF61" s="62">
        <f>ROUNDDOWN(16*$E$8/30000+664,0)</f>
        <v>664</v>
      </c>
      <c r="AG61" s="19"/>
      <c r="AH61" s="70">
        <v>120000</v>
      </c>
      <c r="AI61" s="70">
        <v>150000</v>
      </c>
      <c r="AJ61" s="62">
        <f>ROUNDDOWN(20*$G$9/30000+676,0)</f>
        <v>676</v>
      </c>
      <c r="AK61" s="19"/>
      <c r="AL61" s="19">
        <v>102</v>
      </c>
      <c r="AM61" s="19">
        <v>229</v>
      </c>
      <c r="AO61" s="34">
        <v>180</v>
      </c>
      <c r="AP61" s="34">
        <v>230</v>
      </c>
      <c r="AQ61" s="72">
        <f>ROUNDDOWN(62*$G$18/50+1040,0)</f>
        <v>1040</v>
      </c>
      <c r="AS61" s="34">
        <v>120000</v>
      </c>
      <c r="AT61" s="34">
        <v>150000</v>
      </c>
      <c r="AU61" s="62">
        <f>ROUNDDOWN(32*$G$12/30000+730,0)</f>
        <v>730</v>
      </c>
    </row>
    <row r="62" spans="19:47">
      <c r="S62" s="34">
        <v>200000</v>
      </c>
      <c r="T62" s="34">
        <v>250000</v>
      </c>
      <c r="U62" s="62">
        <f>ROUNDDOWN(28*$E$7/50000+678,0)</f>
        <v>678</v>
      </c>
      <c r="Z62">
        <v>300</v>
      </c>
      <c r="AA62">
        <v>1465</v>
      </c>
      <c r="AD62" s="34">
        <v>150000</v>
      </c>
      <c r="AE62" s="34">
        <v>200000</v>
      </c>
      <c r="AF62" s="62">
        <f>ROUNDDOWN(23*$E$8/50000+675,0)</f>
        <v>675</v>
      </c>
      <c r="AG62" s="19"/>
      <c r="AH62" s="70">
        <v>150000</v>
      </c>
      <c r="AI62" s="70">
        <v>200000</v>
      </c>
      <c r="AJ62" s="62">
        <f>ROUNDDOWN(27*$G$9/50000+695,0)</f>
        <v>695</v>
      </c>
      <c r="AK62" s="19"/>
      <c r="AL62" s="19">
        <v>103</v>
      </c>
      <c r="AM62" s="19">
        <v>239</v>
      </c>
      <c r="AO62" s="34">
        <v>230</v>
      </c>
      <c r="AP62" s="34">
        <v>300</v>
      </c>
      <c r="AQ62" s="72">
        <f>ROUNDDOWN(63*$G$18/70+1119,0)</f>
        <v>1119</v>
      </c>
      <c r="AS62" s="34">
        <v>150000</v>
      </c>
      <c r="AT62" s="34">
        <v>200000</v>
      </c>
      <c r="AU62" s="62">
        <f>ROUNDDOWN(45*$G$12/50000+755,0)</f>
        <v>755</v>
      </c>
    </row>
    <row r="63" spans="19:47">
      <c r="S63" s="34">
        <v>250000</v>
      </c>
      <c r="T63" s="34">
        <v>300000</v>
      </c>
      <c r="U63" s="62">
        <f>ROUNDDOWN(24*$E$7/50000+698,0)</f>
        <v>698</v>
      </c>
      <c r="Z63">
        <v>390</v>
      </c>
      <c r="AA63">
        <v>1527</v>
      </c>
      <c r="AD63" s="34">
        <v>200000</v>
      </c>
      <c r="AE63" s="34">
        <v>250000</v>
      </c>
      <c r="AF63" s="62">
        <f>ROUNDDOWN(19*$E$8/50000+691,0)</f>
        <v>691</v>
      </c>
      <c r="AG63" s="19"/>
      <c r="AH63" s="70">
        <v>200000</v>
      </c>
      <c r="AI63" s="70">
        <v>250000</v>
      </c>
      <c r="AJ63" s="62">
        <f>ROUNDDOWN(24*$G$9/50000+707,0)</f>
        <v>707</v>
      </c>
      <c r="AK63" s="19"/>
      <c r="AL63" s="19">
        <v>104</v>
      </c>
      <c r="AM63" s="19">
        <v>248</v>
      </c>
      <c r="AO63" s="34">
        <v>300</v>
      </c>
      <c r="AP63" s="34">
        <v>390</v>
      </c>
      <c r="AQ63" s="72">
        <f>ROUNDDOWN(62*$G$18/90+1183,0)</f>
        <v>1183</v>
      </c>
      <c r="AS63" s="34">
        <v>200000</v>
      </c>
      <c r="AT63" s="34">
        <v>250000</v>
      </c>
      <c r="AU63" s="62">
        <f>ROUNDDOWN(35*$G$12/50000+795,0)</f>
        <v>795</v>
      </c>
    </row>
    <row r="64" spans="19:47">
      <c r="S64" s="34">
        <v>300000</v>
      </c>
      <c r="T64" s="34">
        <v>400000</v>
      </c>
      <c r="U64" s="62">
        <f>ROUNDDOWN(42*$E$7/100000+716,0)</f>
        <v>716</v>
      </c>
      <c r="Z64">
        <v>510</v>
      </c>
      <c r="AA64">
        <v>1590</v>
      </c>
      <c r="AD64" s="34">
        <v>250000</v>
      </c>
      <c r="AE64" s="34">
        <v>300000</v>
      </c>
      <c r="AF64" s="62">
        <f>ROUNDDOWN(15*$E$8/50000+711,0)</f>
        <v>711</v>
      </c>
      <c r="AG64" s="19"/>
      <c r="AH64" s="70">
        <v>250000</v>
      </c>
      <c r="AI64" s="70">
        <v>300000</v>
      </c>
      <c r="AJ64" s="62">
        <f>ROUNDDOWN(21*$G$9/50000+722,0)</f>
        <v>722</v>
      </c>
      <c r="AK64" s="19"/>
      <c r="AL64" s="19">
        <v>105</v>
      </c>
      <c r="AM64" s="19">
        <v>257</v>
      </c>
      <c r="AO64" s="34">
        <v>390</v>
      </c>
      <c r="AP64" s="34">
        <v>510</v>
      </c>
      <c r="AQ64" s="72">
        <f>ROUNDDOWN(63*$G$18/120+1247,0)</f>
        <v>1247</v>
      </c>
      <c r="AS64" s="34">
        <v>250000</v>
      </c>
      <c r="AT64" s="34">
        <v>300000</v>
      </c>
      <c r="AU64" s="62">
        <f>ROUNDDOWN(30*$G$12/50000+820,0)</f>
        <v>820</v>
      </c>
    </row>
    <row r="65" spans="19:47">
      <c r="S65" s="34">
        <v>400000</v>
      </c>
      <c r="T65" s="34">
        <v>500000</v>
      </c>
      <c r="U65" s="62">
        <f>ROUNDDOWN(34*$E$7/100000+748,0)</f>
        <v>748</v>
      </c>
      <c r="Z65">
        <v>670</v>
      </c>
      <c r="AA65">
        <v>1652</v>
      </c>
      <c r="AD65" s="34">
        <v>300000</v>
      </c>
      <c r="AE65" s="34">
        <v>400000</v>
      </c>
      <c r="AF65" s="62">
        <f>ROUNDDOWN(27*$E$8/100000+720,0)</f>
        <v>720</v>
      </c>
      <c r="AG65" s="19"/>
      <c r="AH65" s="70">
        <v>300000</v>
      </c>
      <c r="AI65" s="70">
        <v>400000</v>
      </c>
      <c r="AJ65" s="62">
        <f>ROUNDDOWN(37*$G$9/100000+737,0)</f>
        <v>737</v>
      </c>
      <c r="AK65" s="19"/>
      <c r="AL65" s="19">
        <v>106</v>
      </c>
      <c r="AM65" s="19">
        <v>267</v>
      </c>
      <c r="AO65" s="34">
        <v>510</v>
      </c>
      <c r="AP65" s="34">
        <v>670</v>
      </c>
      <c r="AQ65" s="72">
        <f>ROUNDDOWN(62*$G$18/160+1318,0)</f>
        <v>1318</v>
      </c>
      <c r="AS65" s="34">
        <v>300000</v>
      </c>
      <c r="AT65" s="34">
        <v>400000</v>
      </c>
      <c r="AU65" s="62">
        <f>ROUNDDOWN(51*$G$12/100000+847,0)</f>
        <v>847</v>
      </c>
    </row>
    <row r="66" spans="19:47">
      <c r="S66" s="34">
        <v>500000</v>
      </c>
      <c r="T66" s="34">
        <v>600000</v>
      </c>
      <c r="U66" s="62">
        <f>ROUNDDOWN(25*$E$7/100000+793,0)</f>
        <v>793</v>
      </c>
      <c r="Z66">
        <v>870</v>
      </c>
      <c r="AA66">
        <v>1715</v>
      </c>
      <c r="AD66" s="34">
        <v>400000</v>
      </c>
      <c r="AE66" s="34">
        <v>500000</v>
      </c>
      <c r="AF66" s="62">
        <f>ROUNDDOWN(21*$E$8/100000+744,0)</f>
        <v>744</v>
      </c>
      <c r="AG66" s="19"/>
      <c r="AH66" s="70">
        <v>400000</v>
      </c>
      <c r="AI66" s="70">
        <v>500000</v>
      </c>
      <c r="AJ66" s="62">
        <f>ROUNDDOWN(32*$G$9/100000+757,0)</f>
        <v>757</v>
      </c>
      <c r="AK66" s="19"/>
      <c r="AL66" s="19">
        <v>107</v>
      </c>
      <c r="AM66" s="19">
        <v>276</v>
      </c>
      <c r="AO66" s="34">
        <v>670</v>
      </c>
      <c r="AP66" s="34">
        <v>870</v>
      </c>
      <c r="AQ66" s="72">
        <f>ROUNDDOWN(63*$G$18/200+1367,0)</f>
        <v>1367</v>
      </c>
      <c r="AS66" s="34">
        <v>400000</v>
      </c>
      <c r="AT66" s="34">
        <v>500000</v>
      </c>
      <c r="AU66" s="62">
        <f>ROUNDDOWN(40*$G$12/100000+891,0)</f>
        <v>891</v>
      </c>
    </row>
    <row r="67" spans="19:47">
      <c r="S67" s="34">
        <v>600000</v>
      </c>
      <c r="T67" s="34">
        <v>800000</v>
      </c>
      <c r="U67" s="62">
        <f>ROUNDDOWN(25*$E$7/200000+868,0)</f>
        <v>868</v>
      </c>
      <c r="Z67">
        <v>1130</v>
      </c>
      <c r="AA67">
        <v>1777</v>
      </c>
      <c r="AD67" s="34">
        <v>500000</v>
      </c>
      <c r="AE67" s="34">
        <v>600000</v>
      </c>
      <c r="AF67" s="62">
        <f>ROUNDDOWN(18*$E$8/100000+759,0)</f>
        <v>759</v>
      </c>
      <c r="AG67" s="19"/>
      <c r="AH67" s="70">
        <v>500000</v>
      </c>
      <c r="AI67" s="70">
        <v>600000</v>
      </c>
      <c r="AJ67" s="62">
        <f>ROUNDDOWN(28*$G$9/100000+777,0)</f>
        <v>777</v>
      </c>
      <c r="AK67" s="19"/>
      <c r="AL67" s="19">
        <v>108</v>
      </c>
      <c r="AM67" s="19">
        <v>285</v>
      </c>
      <c r="AO67" s="34">
        <v>870</v>
      </c>
      <c r="AP67" s="34">
        <v>1130</v>
      </c>
      <c r="AQ67" s="72">
        <f>ROUNDDOWN(62*$G$18/260+1434,0)</f>
        <v>1434</v>
      </c>
      <c r="AS67" s="34">
        <v>500000</v>
      </c>
      <c r="AT67" s="34">
        <v>600000</v>
      </c>
      <c r="AU67" s="62">
        <f>ROUNDDOWN(36*$G$12/100000+911,0)</f>
        <v>911</v>
      </c>
    </row>
    <row r="68" spans="19:47">
      <c r="S68" s="34">
        <v>800000</v>
      </c>
      <c r="T68" s="34">
        <v>1000000</v>
      </c>
      <c r="U68" s="62">
        <f>ROUNDDOWN(38*$E$7/200000+816,0)</f>
        <v>816</v>
      </c>
      <c r="Z68">
        <v>1460</v>
      </c>
      <c r="AA68">
        <v>1840</v>
      </c>
      <c r="AD68" s="34">
        <v>600000</v>
      </c>
      <c r="AE68" s="34">
        <v>800000</v>
      </c>
      <c r="AF68" s="62">
        <f>ROUNDDOWN(30*$E$8/200000+777,0)</f>
        <v>777</v>
      </c>
      <c r="AG68" s="19"/>
      <c r="AH68" s="70">
        <v>600000</v>
      </c>
      <c r="AI68" s="70">
        <v>800000</v>
      </c>
      <c r="AJ68" s="62">
        <f>ROUNDDOWN(48*$G$9/200000+801,0)</f>
        <v>801</v>
      </c>
      <c r="AK68" s="19"/>
      <c r="AL68" s="19">
        <v>109</v>
      </c>
      <c r="AM68" s="19">
        <v>295</v>
      </c>
      <c r="AO68" s="34">
        <v>1130</v>
      </c>
      <c r="AP68" s="34">
        <v>1460</v>
      </c>
      <c r="AQ68" s="72">
        <f>ROUNDDOWN(63*$G$18/330+1488,0)</f>
        <v>1488</v>
      </c>
      <c r="AS68" s="34">
        <v>600000</v>
      </c>
      <c r="AT68" s="34">
        <v>800000</v>
      </c>
      <c r="AU68" s="62">
        <f>ROUNDDOWN(57*$G$12/200000+956,0)</f>
        <v>956</v>
      </c>
    </row>
    <row r="69" spans="19:47">
      <c r="S69" s="34">
        <v>1000000</v>
      </c>
      <c r="T69" s="34">
        <v>1200000</v>
      </c>
      <c r="U69" s="62">
        <f>ROUNDDOWN(39*$E$7/200000+811,0)</f>
        <v>811</v>
      </c>
      <c r="Z69">
        <v>1900</v>
      </c>
      <c r="AA69">
        <v>1903</v>
      </c>
      <c r="AD69" s="34">
        <v>800000</v>
      </c>
      <c r="AE69" s="34">
        <v>1000000</v>
      </c>
      <c r="AF69" s="62">
        <f>ROUNDDOWN(24*$E$8/200000+801,0)</f>
        <v>801</v>
      </c>
      <c r="AG69" s="19"/>
      <c r="AH69" s="70">
        <v>800000</v>
      </c>
      <c r="AI69" s="70">
        <v>1000000</v>
      </c>
      <c r="AJ69" s="62">
        <f>ROUNDDOWN(42*$G$9/200000+825,0)</f>
        <v>825</v>
      </c>
      <c r="AK69" s="19"/>
      <c r="AL69" s="19">
        <v>110</v>
      </c>
      <c r="AM69" s="19">
        <v>304</v>
      </c>
      <c r="AO69" s="34">
        <v>1460</v>
      </c>
      <c r="AP69" s="34">
        <v>1900</v>
      </c>
      <c r="AQ69" s="72">
        <f>ROUNDDOWN(63*$G$18/440+1558,0)</f>
        <v>1558</v>
      </c>
      <c r="AS69" s="34">
        <v>800000</v>
      </c>
      <c r="AT69" s="34">
        <v>1000000</v>
      </c>
      <c r="AU69" s="62">
        <f>ROUNDDOWN(47*$G$12/200000+996,0)</f>
        <v>996</v>
      </c>
    </row>
    <row r="70" spans="19:47">
      <c r="S70" s="34">
        <v>1200000</v>
      </c>
      <c r="T70" s="34">
        <v>1500000</v>
      </c>
      <c r="U70" s="62">
        <f>ROUNDDOWN(38*$E$7/300000+893,0)</f>
        <v>893</v>
      </c>
      <c r="Z70">
        <v>2470</v>
      </c>
      <c r="AA70">
        <v>1965</v>
      </c>
      <c r="AD70" s="34">
        <v>1000000</v>
      </c>
      <c r="AE70" s="34">
        <v>1200000</v>
      </c>
      <c r="AF70" s="62">
        <f>ROUNDDOWN(21*$E$8/200000+816,0)</f>
        <v>816</v>
      </c>
      <c r="AG70" s="19"/>
      <c r="AH70" s="70">
        <v>1000000</v>
      </c>
      <c r="AI70" s="70">
        <v>1200000</v>
      </c>
      <c r="AJ70" s="62">
        <f>ROUNDDOWN(37*$G$9/200000+850,0)</f>
        <v>850</v>
      </c>
      <c r="AK70" s="19"/>
      <c r="AL70" s="19">
        <v>111</v>
      </c>
      <c r="AM70" s="19">
        <v>313</v>
      </c>
      <c r="AO70" s="34">
        <v>1900</v>
      </c>
      <c r="AP70" s="34">
        <v>2470</v>
      </c>
      <c r="AQ70" s="72">
        <f>ROUNDDOWN(62*$G$18/570+1624,0)</f>
        <v>1624</v>
      </c>
      <c r="AS70" s="34">
        <v>1000000</v>
      </c>
      <c r="AT70" s="34">
        <v>1200000</v>
      </c>
      <c r="AU70" s="62">
        <f>ROUNDDOWN(41*$G$12/200000+1026,0)</f>
        <v>1026</v>
      </c>
    </row>
    <row r="71" spans="19:47">
      <c r="S71" s="34">
        <v>1500000</v>
      </c>
      <c r="T71" s="34">
        <v>2000000</v>
      </c>
      <c r="U71" s="62">
        <f>ROUNDDOWN(36*$E$7/500000+975,0)</f>
        <v>975</v>
      </c>
      <c r="Z71">
        <v>3210</v>
      </c>
      <c r="AA71">
        <v>2027</v>
      </c>
      <c r="AD71" s="34">
        <v>1200000</v>
      </c>
      <c r="AE71" s="34">
        <v>1500000</v>
      </c>
      <c r="AF71" s="62">
        <f>ROUNDDOWN(27*$E$8/300000+834,0)</f>
        <v>834</v>
      </c>
      <c r="AG71" s="19"/>
      <c r="AH71" s="70">
        <v>1200000</v>
      </c>
      <c r="AI71" s="70">
        <v>1500000</v>
      </c>
      <c r="AJ71" s="62">
        <f>ROUNDDOWN(48*$G$9/300000+880,0)</f>
        <v>880</v>
      </c>
      <c r="AK71" s="19"/>
      <c r="AL71" s="19">
        <v>112</v>
      </c>
      <c r="AM71" s="19">
        <v>322</v>
      </c>
      <c r="AO71" s="34">
        <v>2470</v>
      </c>
      <c r="AP71" s="34">
        <v>3210</v>
      </c>
      <c r="AQ71" s="72">
        <f>ROUNDDOWN(62*$G$18/740+1686,0)</f>
        <v>1686</v>
      </c>
      <c r="AS71" s="34">
        <v>1200000</v>
      </c>
      <c r="AT71" s="34">
        <v>1500000</v>
      </c>
      <c r="AU71" s="62">
        <f>ROUNDDOWN(50*$G$12/300000+1072,0)</f>
        <v>1072</v>
      </c>
    </row>
    <row r="72" spans="19:47">
      <c r="S72" s="34">
        <v>2000000</v>
      </c>
      <c r="T72" s="34">
        <v>2500000</v>
      </c>
      <c r="U72" s="62">
        <f>ROUNDDOWN(39*$E$7/500000+963,0)</f>
        <v>963</v>
      </c>
      <c r="Z72">
        <v>4180</v>
      </c>
      <c r="AA72">
        <v>2090</v>
      </c>
      <c r="AD72" s="34">
        <v>1500000</v>
      </c>
      <c r="AE72" s="34">
        <v>2000000</v>
      </c>
      <c r="AF72" s="62">
        <f>ROUNDDOWN(36*$E$8/500000+861,0)</f>
        <v>861</v>
      </c>
      <c r="AG72" s="19"/>
      <c r="AH72" s="70">
        <v>1500000</v>
      </c>
      <c r="AI72" s="70">
        <v>2000000</v>
      </c>
      <c r="AJ72" s="62">
        <f>ROUNDDOWN(70*$G$9/500000+910,0)</f>
        <v>910</v>
      </c>
      <c r="AK72" s="19"/>
      <c r="AL72" s="19">
        <v>113</v>
      </c>
      <c r="AM72" s="19">
        <v>332</v>
      </c>
      <c r="AO72" s="34">
        <v>3210</v>
      </c>
      <c r="AP72" s="34">
        <v>4180</v>
      </c>
      <c r="AQ72" s="72">
        <f>ROUNDDOWN(63*$G$18/970+1747,0)</f>
        <v>1747</v>
      </c>
      <c r="AS72" s="34">
        <v>1500000</v>
      </c>
      <c r="AT72" s="34">
        <v>2000000</v>
      </c>
      <c r="AU72" s="62">
        <f>ROUNDDOWN(70*$G$12/500000+1112,0)</f>
        <v>1112</v>
      </c>
    </row>
    <row r="73" spans="19:47">
      <c r="S73" s="34">
        <v>2500000</v>
      </c>
      <c r="T73" s="34">
        <v>3000000</v>
      </c>
      <c r="U73" s="62">
        <f>ROUNDDOWN(51*$E$7/500000+903,0)</f>
        <v>903</v>
      </c>
      <c r="Z73">
        <v>5430</v>
      </c>
      <c r="AA73">
        <v>2153</v>
      </c>
      <c r="AD73" s="34">
        <v>2000000</v>
      </c>
      <c r="AE73" s="34">
        <v>2500000</v>
      </c>
      <c r="AF73" s="62">
        <f>ROUNDDOWN(29*$E$8/500000+889,0)</f>
        <v>889</v>
      </c>
      <c r="AG73" s="19"/>
      <c r="AH73" s="70">
        <v>2000000</v>
      </c>
      <c r="AI73" s="70">
        <v>2500000</v>
      </c>
      <c r="AJ73" s="62">
        <f>ROUNDDOWN(60*$G$9/500000+950,0)</f>
        <v>950</v>
      </c>
      <c r="AK73" s="19"/>
      <c r="AL73" s="19">
        <v>114</v>
      </c>
      <c r="AM73" s="19">
        <v>341</v>
      </c>
      <c r="AO73" s="34">
        <v>4180</v>
      </c>
      <c r="AP73" s="34">
        <v>5430</v>
      </c>
      <c r="AQ73" s="72">
        <f>ROUNDDOWN(63*$G$18/1250+1808,0)</f>
        <v>1808</v>
      </c>
      <c r="AS73" s="34">
        <v>2000000</v>
      </c>
      <c r="AT73" s="34">
        <v>2500000</v>
      </c>
      <c r="AU73" s="62">
        <f>ROUNDDOWN(57*$G$12/500000+1164,0)</f>
        <v>1164</v>
      </c>
    </row>
    <row r="74" spans="19:47">
      <c r="S74" s="34">
        <v>3000000</v>
      </c>
      <c r="T74" s="34">
        <v>4000000</v>
      </c>
      <c r="U74" s="62">
        <f>ROUNDDOWN(50*$E$7/1000000+1059,0)</f>
        <v>1059</v>
      </c>
      <c r="Z74">
        <v>7060</v>
      </c>
      <c r="AA74">
        <v>2215</v>
      </c>
      <c r="AD74" s="34">
        <v>2500000</v>
      </c>
      <c r="AE74" s="34">
        <v>3000000</v>
      </c>
      <c r="AF74" s="62">
        <f>ROUNDDOWN(25*$E$8/500000+909,0)</f>
        <v>909</v>
      </c>
      <c r="AG74" s="19"/>
      <c r="AH74" s="70">
        <v>2500000</v>
      </c>
      <c r="AI74" s="70">
        <v>3000000</v>
      </c>
      <c r="AJ74" s="62">
        <f>ROUNDDOWN(54*$G$9/500000+980,0)</f>
        <v>980</v>
      </c>
      <c r="AK74" s="19"/>
      <c r="AL74" s="19">
        <v>115</v>
      </c>
      <c r="AM74" s="19">
        <v>350</v>
      </c>
      <c r="AO74" s="34">
        <v>5430</v>
      </c>
      <c r="AP74" s="34">
        <v>7060</v>
      </c>
      <c r="AQ74" s="72">
        <f>ROUNDDOWN(62*$G$18/1630+1876,0)</f>
        <v>1876</v>
      </c>
      <c r="AS74" s="34">
        <v>2500000</v>
      </c>
      <c r="AT74" s="34">
        <v>3000000</v>
      </c>
      <c r="AU74" s="62">
        <f>ROUNDDOWN(48*$G$12/500000+1209,0)</f>
        <v>1209</v>
      </c>
    </row>
    <row r="75" spans="19:47">
      <c r="S75" s="34">
        <v>4000000</v>
      </c>
      <c r="T75" s="34">
        <v>5000000</v>
      </c>
      <c r="U75" s="62">
        <f>ROUNDDOWN(51*$E$7/1000000+1055,0)</f>
        <v>1055</v>
      </c>
      <c r="Z75">
        <v>9180</v>
      </c>
      <c r="AA75">
        <v>2277</v>
      </c>
      <c r="AD75" s="34">
        <v>3000000</v>
      </c>
      <c r="AE75" s="34">
        <v>4000000</v>
      </c>
      <c r="AF75" s="62">
        <f>ROUNDDOWN(41*$E$8/1000000+936,0)</f>
        <v>936</v>
      </c>
      <c r="AG75" s="19"/>
      <c r="AH75" s="70">
        <v>3000000</v>
      </c>
      <c r="AI75" s="70">
        <v>4000000</v>
      </c>
      <c r="AJ75" s="62">
        <f>ROUNDDOWN(92*$G$9/1000000+1028,0)</f>
        <v>1028</v>
      </c>
      <c r="AK75" s="19"/>
      <c r="AL75" s="19">
        <v>116</v>
      </c>
      <c r="AM75" s="19">
        <v>360</v>
      </c>
      <c r="AO75" s="34">
        <v>7060</v>
      </c>
      <c r="AP75" s="34">
        <v>9180</v>
      </c>
      <c r="AQ75" s="72">
        <f>ROUNDDOWN(62*$G$18/2120+1939,0)</f>
        <v>1939</v>
      </c>
      <c r="AS75" s="34">
        <v>3000000</v>
      </c>
      <c r="AT75" s="34">
        <v>4000000</v>
      </c>
      <c r="AU75" s="62">
        <f>ROUNDDOWN(79*$G$12/1000000+1260,0)</f>
        <v>1260</v>
      </c>
    </row>
    <row r="76" spans="19:47">
      <c r="S76" s="34">
        <v>5000000</v>
      </c>
      <c r="T76" s="34">
        <v>6000000</v>
      </c>
      <c r="U76" s="62">
        <f>ROUNDDOWN(51*$E$7/1000000+1055,0)</f>
        <v>1055</v>
      </c>
      <c r="Z76">
        <v>11930</v>
      </c>
      <c r="AA76">
        <v>2340</v>
      </c>
      <c r="AD76" s="34">
        <v>4000000</v>
      </c>
      <c r="AE76" s="34">
        <v>5000000</v>
      </c>
      <c r="AF76" s="62">
        <f>ROUNDDOWN(34*$E$8/1000000+964,0)</f>
        <v>964</v>
      </c>
      <c r="AG76" s="19"/>
      <c r="AH76" s="70">
        <v>4000000</v>
      </c>
      <c r="AI76" s="70">
        <v>5000000</v>
      </c>
      <c r="AJ76" s="62">
        <f>ROUNDDOWN(79*$G$9/1000000+1080,0)</f>
        <v>1080</v>
      </c>
      <c r="AK76" s="19"/>
      <c r="AL76" s="19">
        <v>117</v>
      </c>
      <c r="AM76" s="19">
        <v>369</v>
      </c>
      <c r="AO76" s="34">
        <v>9180</v>
      </c>
      <c r="AP76" s="34">
        <v>11930</v>
      </c>
      <c r="AQ76" s="72">
        <f>ROUNDDOWN(63*$G$18/2750+1998,0)</f>
        <v>1998</v>
      </c>
      <c r="AS76" s="34">
        <v>4000000</v>
      </c>
      <c r="AT76" s="34">
        <v>5000000</v>
      </c>
      <c r="AU76" s="62">
        <f>ROUNDDOWN(66*$G$12/1000000+1312,0)</f>
        <v>1312</v>
      </c>
    </row>
    <row r="77" spans="19:47">
      <c r="S77" s="34">
        <v>6000000</v>
      </c>
      <c r="T77" s="34">
        <v>8000000</v>
      </c>
      <c r="U77" s="62">
        <f>ROUNDDOWN(50*$E$7/2000000+1211,0)</f>
        <v>1211</v>
      </c>
      <c r="Z77">
        <v>15500</v>
      </c>
      <c r="AA77">
        <v>2402</v>
      </c>
      <c r="AD77" s="34">
        <v>5000000</v>
      </c>
      <c r="AE77" s="34">
        <v>6000000</v>
      </c>
      <c r="AF77" s="62">
        <f>ROUNDDOWN(29*$E$8/1000000+989,0)</f>
        <v>989</v>
      </c>
      <c r="AG77" s="19"/>
      <c r="AH77" s="70">
        <v>5000000</v>
      </c>
      <c r="AI77" s="70">
        <v>6000000</v>
      </c>
      <c r="AJ77" s="62">
        <f>ROUNDDOWN(70*$G$9/1000000+1125,0)</f>
        <v>1125</v>
      </c>
      <c r="AK77" s="19"/>
      <c r="AL77" s="19">
        <v>118</v>
      </c>
      <c r="AM77" s="19">
        <v>378</v>
      </c>
      <c r="AO77" s="34">
        <v>11930</v>
      </c>
      <c r="AP77" s="34">
        <v>15500</v>
      </c>
      <c r="AQ77" s="72">
        <f>ROUNDDOWN(62*$G$18/3570+2065,0)</f>
        <v>2065</v>
      </c>
      <c r="AS77" s="34">
        <v>5000000</v>
      </c>
      <c r="AT77" s="34">
        <v>6000000</v>
      </c>
      <c r="AU77" s="62">
        <f>ROUNDDOWN(55*$G$12/1000000+1367,0)</f>
        <v>1367</v>
      </c>
    </row>
    <row r="78" spans="19:47">
      <c r="S78" s="34">
        <v>8000000</v>
      </c>
      <c r="T78" s="34">
        <v>10000000</v>
      </c>
      <c r="U78" s="62">
        <f>ROUNDDOWN(64*$E$7/2000000+1155,0)</f>
        <v>1155</v>
      </c>
      <c r="AD78" s="34">
        <v>6000000</v>
      </c>
      <c r="AE78" s="34">
        <v>8000000</v>
      </c>
      <c r="AF78" s="62">
        <f>ROUNDDOWN(47*$E$8/2000000+1022,0)</f>
        <v>1022</v>
      </c>
      <c r="AG78" s="19"/>
      <c r="AH78" s="70">
        <v>6000000</v>
      </c>
      <c r="AI78" s="70">
        <v>8000000</v>
      </c>
      <c r="AJ78" s="62">
        <f>ROUNDDOWN(122*$G$9/2000000+1179,0)</f>
        <v>1179</v>
      </c>
      <c r="AK78" s="19"/>
      <c r="AL78" s="19">
        <v>119</v>
      </c>
      <c r="AM78" s="19">
        <v>387</v>
      </c>
      <c r="AO78" s="34">
        <v>15500</v>
      </c>
      <c r="AP78" s="34">
        <v>0</v>
      </c>
      <c r="AQ78" s="72">
        <v>2335</v>
      </c>
      <c r="AS78" s="34">
        <v>6000000</v>
      </c>
      <c r="AT78" s="34">
        <v>8000000</v>
      </c>
      <c r="AU78" s="62">
        <f>ROUNDDOWN(92*$G$12/2000000+1421,0)</f>
        <v>1421</v>
      </c>
    </row>
    <row r="79" spans="19:47">
      <c r="S79" s="34">
        <v>10000000</v>
      </c>
      <c r="T79" s="34">
        <v>12000000</v>
      </c>
      <c r="U79" s="62">
        <f>ROUNDDOWN(62*$E$7/2000000+1165,0)</f>
        <v>1165</v>
      </c>
      <c r="AD79" s="34">
        <v>8000000</v>
      </c>
      <c r="AE79" s="34">
        <v>10000000</v>
      </c>
      <c r="AF79" s="62">
        <f>ROUNDDOWN(39*$E$8/2000000+1054,0)</f>
        <v>1054</v>
      </c>
      <c r="AG79" s="19"/>
      <c r="AH79" s="70">
        <v>8000000</v>
      </c>
      <c r="AI79" s="71">
        <v>10000000</v>
      </c>
      <c r="AJ79" s="62">
        <f>ROUNDDOWN(104*$G$9/2000000+1251,0)</f>
        <v>1251</v>
      </c>
      <c r="AK79" s="19"/>
      <c r="AL79" s="19">
        <v>120</v>
      </c>
      <c r="AM79" s="19">
        <v>397</v>
      </c>
      <c r="AS79" s="34">
        <v>8000000</v>
      </c>
      <c r="AT79" s="34">
        <v>10000000</v>
      </c>
      <c r="AU79" s="62">
        <f>ROUNDDOWN(75*$G$12/2000000+1489,0)</f>
        <v>1489</v>
      </c>
    </row>
    <row r="80" spans="19:47">
      <c r="S80" s="34">
        <v>12000000</v>
      </c>
      <c r="T80" s="34">
        <v>15000000</v>
      </c>
      <c r="U80" s="62">
        <f>ROUNDDOWN(64*$E$7/3000000+1281,0)</f>
        <v>1281</v>
      </c>
      <c r="AD80" s="34">
        <v>10000000</v>
      </c>
      <c r="AE80" s="34">
        <v>12000000</v>
      </c>
      <c r="AF80" s="62">
        <f>ROUNDDOWN(33*$E$8/2000000+1084,0)</f>
        <v>1084</v>
      </c>
      <c r="AG80" s="19"/>
      <c r="AH80" s="34">
        <v>10000000</v>
      </c>
      <c r="AI80" s="34">
        <v>12000000</v>
      </c>
      <c r="AJ80" s="62">
        <f>ROUNDDOWN(93*$G$9/2000000+1306,0)</f>
        <v>1306</v>
      </c>
      <c r="AK80" s="19"/>
      <c r="AL80" s="19">
        <v>121</v>
      </c>
      <c r="AM80" s="19">
        <v>406</v>
      </c>
      <c r="AS80" s="34">
        <v>10000000</v>
      </c>
      <c r="AT80" s="34">
        <v>12000000</v>
      </c>
      <c r="AU80" s="62">
        <f>ROUNDDOWN(63*$G$12/2000000+1549,0)</f>
        <v>1549</v>
      </c>
    </row>
    <row r="81" spans="19:47">
      <c r="S81" s="34">
        <v>15000000</v>
      </c>
      <c r="T81" s="34">
        <v>20000000</v>
      </c>
      <c r="U81" s="62">
        <f>ROUNDDOWN(76*$E$7/5000000+1373,0)</f>
        <v>1373</v>
      </c>
      <c r="AD81" s="34">
        <v>12000000</v>
      </c>
      <c r="AE81" s="34">
        <v>15000000</v>
      </c>
      <c r="AF81" s="62">
        <f>ROUNDDOWN(42*$E$8/3000000+1114,0)</f>
        <v>1114</v>
      </c>
      <c r="AG81" s="19"/>
      <c r="AH81" s="70">
        <v>12000000</v>
      </c>
      <c r="AI81" s="70">
        <v>15000000</v>
      </c>
      <c r="AJ81" s="62">
        <f>ROUNDDOWN(123*$G$9/3000000+1372,0)</f>
        <v>1372</v>
      </c>
      <c r="AK81" s="19"/>
      <c r="AL81" s="19">
        <v>122</v>
      </c>
      <c r="AM81" s="19">
        <v>415</v>
      </c>
      <c r="AS81" s="34">
        <v>12000000</v>
      </c>
      <c r="AT81" s="34">
        <v>15000000</v>
      </c>
      <c r="AU81" s="62">
        <f>ROUNDDOWN(81*$G$12/3000000+1603,0)</f>
        <v>1603</v>
      </c>
    </row>
    <row r="82" spans="19:47">
      <c r="S82" s="34">
        <v>20000000</v>
      </c>
      <c r="T82" s="34">
        <v>25000000</v>
      </c>
      <c r="U82" s="62">
        <f>ROUNDDOWN(76*$E$7/5000000+1373,0)</f>
        <v>1373</v>
      </c>
      <c r="AD82" s="34">
        <v>15000000</v>
      </c>
      <c r="AE82" s="34">
        <v>20000000</v>
      </c>
      <c r="AF82" s="62">
        <f>ROUNDDOWN(57*$E$8/5000000+1153,0)</f>
        <v>1153</v>
      </c>
      <c r="AG82" s="19"/>
      <c r="AH82" s="70">
        <v>15000000</v>
      </c>
      <c r="AI82" s="70">
        <v>20000000</v>
      </c>
      <c r="AJ82" s="62">
        <f>ROUNDDOWN(175*$G$9/5000000+1462,0)</f>
        <v>1462</v>
      </c>
      <c r="AK82" s="19"/>
      <c r="AL82" s="19">
        <v>123</v>
      </c>
      <c r="AM82" s="19">
        <v>425</v>
      </c>
      <c r="AS82" s="34">
        <v>15000000</v>
      </c>
      <c r="AT82" s="34">
        <v>20000000</v>
      </c>
      <c r="AU82" s="62">
        <f>ROUNDDOWN(110*$G$12/5000000+1678,0)</f>
        <v>1678</v>
      </c>
    </row>
    <row r="83" spans="19:47">
      <c r="S83" s="34">
        <v>25000000</v>
      </c>
      <c r="T83" s="34">
        <v>30000000</v>
      </c>
      <c r="U83" s="62">
        <f>ROUNDDOWN(75*$E$7/5000000+1378,0)</f>
        <v>1378</v>
      </c>
      <c r="AD83" s="34">
        <v>20000000</v>
      </c>
      <c r="AE83" s="34">
        <v>25000000</v>
      </c>
      <c r="AF83" s="62">
        <f>ROUNDDOWN(47*$E$8/5000000+1193,0)</f>
        <v>1193</v>
      </c>
      <c r="AG83" s="19"/>
      <c r="AH83" s="70">
        <v>20000000</v>
      </c>
      <c r="AI83" s="70">
        <v>25000000</v>
      </c>
      <c r="AJ83" s="62">
        <f>ROUNDDOWN(151*$G$9/5000000+1558,0)</f>
        <v>1558</v>
      </c>
      <c r="AK83" s="19"/>
      <c r="AL83" s="19">
        <v>124</v>
      </c>
      <c r="AM83" s="19">
        <v>434</v>
      </c>
      <c r="AS83" s="34">
        <v>20000000</v>
      </c>
      <c r="AT83" s="34">
        <v>25000000</v>
      </c>
      <c r="AU83" s="62">
        <f>ROUNDDOWN(90*$G$12/5000000+1758,0)</f>
        <v>1758</v>
      </c>
    </row>
    <row r="84" spans="19:47">
      <c r="S84" s="34">
        <v>30000000</v>
      </c>
      <c r="T84" s="34">
        <v>40000000</v>
      </c>
      <c r="U84" s="62">
        <f>ROUNDDOWN(89*$E$7/10000000+1561,0)</f>
        <v>1561</v>
      </c>
      <c r="AD84" s="34">
        <v>25000000</v>
      </c>
      <c r="AE84" s="34">
        <v>30000000</v>
      </c>
      <c r="AF84" s="62">
        <f>ROUNDDOWN(39*$E$8/5000000+1233,0)</f>
        <v>1233</v>
      </c>
      <c r="AG84" s="19"/>
      <c r="AH84" s="70">
        <v>25000000</v>
      </c>
      <c r="AI84" s="70">
        <v>30000000</v>
      </c>
      <c r="AJ84" s="62">
        <f>ROUNDDOWN(134*$G$9/5000000+1643,0)</f>
        <v>1643</v>
      </c>
      <c r="AK84" s="19"/>
      <c r="AL84" s="19">
        <v>125</v>
      </c>
      <c r="AM84" s="19">
        <v>443</v>
      </c>
      <c r="AS84" s="34">
        <v>25000000</v>
      </c>
      <c r="AT84" s="34">
        <v>30000000</v>
      </c>
      <c r="AU84" s="62">
        <f>ROUNDDOWN(76*$G$12/5000000+1828,0)</f>
        <v>1828</v>
      </c>
    </row>
    <row r="85" spans="19:47">
      <c r="S85" s="34">
        <v>40000000</v>
      </c>
      <c r="T85" s="34">
        <v>50000000</v>
      </c>
      <c r="U85" s="62">
        <f>ROUNDDOWN(89*$E$7/10000000+1561,0)</f>
        <v>1561</v>
      </c>
      <c r="AD85" s="34">
        <v>30000000</v>
      </c>
      <c r="AE85" s="34">
        <v>40000000</v>
      </c>
      <c r="AF85" s="62">
        <f>ROUNDDOWN(66*$E$8/10000000+1269,0)</f>
        <v>1269</v>
      </c>
      <c r="AG85" s="19"/>
      <c r="AH85" s="70">
        <v>30000000</v>
      </c>
      <c r="AI85" s="70">
        <v>0</v>
      </c>
      <c r="AJ85" s="62">
        <v>2447</v>
      </c>
      <c r="AK85" s="19"/>
      <c r="AL85" s="19">
        <v>126</v>
      </c>
      <c r="AM85" s="19">
        <v>453</v>
      </c>
      <c r="AS85" s="34">
        <v>30000000</v>
      </c>
      <c r="AT85" s="34">
        <v>40000000</v>
      </c>
      <c r="AU85" s="62">
        <f>ROUNDDOWN(126*$G$12/10000000+1906,0)</f>
        <v>1906</v>
      </c>
    </row>
    <row r="86" spans="19:47">
      <c r="S86" s="34">
        <v>50000000</v>
      </c>
      <c r="T86" s="34">
        <v>60000000</v>
      </c>
      <c r="U86" s="62">
        <f>ROUNDDOWN(88*$E$7/10000000+1566,0)</f>
        <v>1566</v>
      </c>
      <c r="AD86" s="34">
        <v>40000000</v>
      </c>
      <c r="AE86" s="34">
        <v>50000000</v>
      </c>
      <c r="AF86" s="62">
        <f>ROUNDDOWN(53*$E$8/10000000+1321,0)</f>
        <v>1321</v>
      </c>
      <c r="AG86" s="19"/>
      <c r="AH86" s="19"/>
      <c r="AI86" s="19"/>
      <c r="AJ86" s="19"/>
      <c r="AK86" s="19"/>
      <c r="AL86" s="19">
        <v>127</v>
      </c>
      <c r="AM86" s="19">
        <v>462</v>
      </c>
      <c r="AS86" s="34">
        <v>40000000</v>
      </c>
      <c r="AT86" s="34">
        <v>50000000</v>
      </c>
      <c r="AU86" s="62">
        <f>ROUNDDOWN(104*$G$12/10000000+1994,0)</f>
        <v>1994</v>
      </c>
    </row>
    <row r="87" spans="19:47">
      <c r="S87" s="34">
        <v>60000000</v>
      </c>
      <c r="T87" s="34">
        <v>80000000</v>
      </c>
      <c r="U87" s="62">
        <f>ROUNDDOWN(101*$E$7/20000000+1791,0)</f>
        <v>1791</v>
      </c>
      <c r="AD87" s="34">
        <v>50000000</v>
      </c>
      <c r="AE87" s="34">
        <v>60000000</v>
      </c>
      <c r="AF87" s="62">
        <f>ROUNDDOWN(46*$E$8/10000000+1356,0)</f>
        <v>1356</v>
      </c>
      <c r="AG87" s="19"/>
      <c r="AH87" s="19"/>
      <c r="AI87" s="19"/>
      <c r="AJ87" s="19"/>
      <c r="AK87" s="19"/>
      <c r="AL87" s="19">
        <v>128</v>
      </c>
      <c r="AM87" s="19">
        <v>471</v>
      </c>
      <c r="AS87" s="34">
        <v>50000000</v>
      </c>
      <c r="AT87" s="34">
        <v>60000000</v>
      </c>
      <c r="AU87" s="62">
        <f>ROUNDDOWN(87*$G$12/10000000+2079,0)</f>
        <v>2079</v>
      </c>
    </row>
    <row r="88" spans="19:47">
      <c r="S88" s="34">
        <v>80000000</v>
      </c>
      <c r="T88" s="34">
        <v>100000000</v>
      </c>
      <c r="U88" s="62">
        <f>ROUNDDOWN(114*$E$7/20000000+1739,0)</f>
        <v>1739</v>
      </c>
      <c r="AD88" s="34">
        <v>60000000</v>
      </c>
      <c r="AE88" s="34">
        <v>80000000</v>
      </c>
      <c r="AF88" s="62">
        <f>ROUNDDOWN(75*$E$8/20000000+1407,0)</f>
        <v>1407</v>
      </c>
      <c r="AG88" s="19"/>
      <c r="AH88" s="19"/>
      <c r="AI88" s="19"/>
      <c r="AJ88" s="19"/>
      <c r="AK88" s="19"/>
      <c r="AL88" s="19">
        <v>129</v>
      </c>
      <c r="AM88" s="19">
        <v>480</v>
      </c>
      <c r="AS88" s="34">
        <v>60000000</v>
      </c>
      <c r="AT88" s="34">
        <v>80000000</v>
      </c>
      <c r="AU88" s="62">
        <f>ROUNDDOWN(145*$G$12/20000000+2166,0)</f>
        <v>2166</v>
      </c>
    </row>
    <row r="89" spans="19:47">
      <c r="S89" s="34">
        <v>100000000</v>
      </c>
      <c r="T89" s="35" t="s">
        <v>63</v>
      </c>
      <c r="U89" s="62">
        <v>2309</v>
      </c>
      <c r="AD89" s="34">
        <v>80000000</v>
      </c>
      <c r="AE89" s="34">
        <v>100000000</v>
      </c>
      <c r="AF89" s="62">
        <f>ROUNDDOWN(61*$E$8/20000000+1463,0)</f>
        <v>1463</v>
      </c>
      <c r="AG89" s="19"/>
      <c r="AH89" s="19"/>
      <c r="AI89" s="19"/>
      <c r="AJ89" s="19"/>
      <c r="AK89" s="19"/>
      <c r="AL89" s="19">
        <v>130</v>
      </c>
      <c r="AM89" s="19">
        <v>490</v>
      </c>
      <c r="AS89" s="34">
        <v>80000000</v>
      </c>
      <c r="AT89" s="34">
        <v>100000000</v>
      </c>
      <c r="AU89" s="62">
        <f>ROUNDDOWN(119*$G$12/20000000+2270,0)</f>
        <v>2270</v>
      </c>
    </row>
    <row r="90" spans="19:47">
      <c r="S90" s="34"/>
      <c r="T90" s="34"/>
      <c r="U90" s="20"/>
      <c r="AD90" s="34">
        <v>100000000</v>
      </c>
      <c r="AE90" s="34">
        <v>120000000</v>
      </c>
      <c r="AF90" s="62">
        <f>ROUNDDOWN(53*$E$8/20000000+1503,0)</f>
        <v>1503</v>
      </c>
      <c r="AG90" s="19"/>
      <c r="AH90" s="19"/>
      <c r="AI90" s="19"/>
      <c r="AJ90" s="19"/>
      <c r="AK90" s="19"/>
      <c r="AL90" s="19">
        <v>131</v>
      </c>
      <c r="AM90" s="19">
        <v>499</v>
      </c>
      <c r="AS90" s="34">
        <v>100000000</v>
      </c>
      <c r="AT90" s="34">
        <v>0</v>
      </c>
      <c r="AU90" s="62">
        <v>2865</v>
      </c>
    </row>
    <row r="91" spans="19:47">
      <c r="S91" s="34"/>
      <c r="T91" s="34"/>
      <c r="U91" s="20"/>
      <c r="AD91" s="34">
        <v>120000000</v>
      </c>
      <c r="AE91" s="34">
        <v>150000000</v>
      </c>
      <c r="AF91" s="62">
        <f>ROUNDDOWN(66*$E$8/30000000+1557,0)</f>
        <v>1557</v>
      </c>
      <c r="AG91" s="19"/>
      <c r="AH91" s="19"/>
      <c r="AI91" s="19"/>
      <c r="AJ91" s="19"/>
      <c r="AK91" s="19"/>
      <c r="AL91" s="19">
        <v>132</v>
      </c>
      <c r="AM91" s="19">
        <v>508</v>
      </c>
    </row>
    <row r="92" spans="19:47">
      <c r="S92" s="34"/>
      <c r="U92" s="20"/>
      <c r="AD92" s="34">
        <v>150000000</v>
      </c>
      <c r="AE92" s="34">
        <v>200000000</v>
      </c>
      <c r="AF92" s="62">
        <f>ROUNDDOWN(91*$E$8/50000000+1614,0)</f>
        <v>1614</v>
      </c>
      <c r="AG92" s="19"/>
      <c r="AH92" s="19"/>
      <c r="AI92" s="19"/>
      <c r="AJ92" s="19"/>
      <c r="AK92" s="19"/>
      <c r="AL92" s="19">
        <v>133</v>
      </c>
      <c r="AM92" s="19">
        <v>518</v>
      </c>
    </row>
    <row r="93" spans="19:47">
      <c r="AD93" s="34">
        <v>200000000</v>
      </c>
      <c r="AE93" s="34">
        <v>250000000</v>
      </c>
      <c r="AF93" s="62">
        <f>ROUNDDOWN(73*$E$8/50000000+1686,0)</f>
        <v>1686</v>
      </c>
      <c r="AG93" s="19"/>
      <c r="AH93" s="19"/>
      <c r="AI93" s="19"/>
      <c r="AJ93" s="19"/>
      <c r="AK93" s="19"/>
      <c r="AL93" s="19">
        <v>134</v>
      </c>
      <c r="AM93" s="19">
        <v>527</v>
      </c>
    </row>
    <row r="94" spans="19:47">
      <c r="AD94" s="34">
        <v>250000000</v>
      </c>
      <c r="AE94" s="34">
        <v>300000000</v>
      </c>
      <c r="AF94" s="62">
        <f>ROUNDDOWN(63*$E$8/50000000+1736,0)</f>
        <v>1736</v>
      </c>
      <c r="AG94" s="19"/>
      <c r="AH94" s="19"/>
      <c r="AI94" s="19"/>
      <c r="AJ94" s="19"/>
      <c r="AK94" s="19"/>
      <c r="AL94" s="19">
        <v>135</v>
      </c>
      <c r="AM94" s="19">
        <v>536</v>
      </c>
    </row>
    <row r="95" spans="19:47">
      <c r="AD95" s="34">
        <v>300000000</v>
      </c>
      <c r="AE95" s="34"/>
      <c r="AF95" s="62">
        <v>2114</v>
      </c>
      <c r="AG95" s="19"/>
      <c r="AH95" s="19"/>
      <c r="AI95" s="19"/>
      <c r="AJ95" s="19"/>
      <c r="AK95" s="19"/>
      <c r="AL95" s="19">
        <v>136</v>
      </c>
      <c r="AM95" s="19">
        <v>545</v>
      </c>
    </row>
    <row r="96" spans="19:47">
      <c r="AF96" s="19"/>
      <c r="AG96" s="19"/>
      <c r="AH96" s="19"/>
      <c r="AI96" s="19"/>
      <c r="AJ96" s="19"/>
      <c r="AK96" s="19"/>
      <c r="AL96" s="19">
        <v>137</v>
      </c>
      <c r="AM96" s="19">
        <v>555</v>
      </c>
    </row>
    <row r="97" spans="32:39">
      <c r="AF97" s="19"/>
      <c r="AG97" s="19"/>
      <c r="AH97" s="19"/>
      <c r="AI97" s="19"/>
      <c r="AJ97" s="19"/>
      <c r="AK97" s="19"/>
      <c r="AL97" s="19">
        <v>138</v>
      </c>
      <c r="AM97" s="19">
        <v>564</v>
      </c>
    </row>
    <row r="98" spans="32:39">
      <c r="AF98" s="19"/>
      <c r="AG98" s="19"/>
      <c r="AH98" s="19"/>
      <c r="AI98" s="19"/>
      <c r="AJ98" s="19"/>
      <c r="AK98" s="19"/>
      <c r="AL98" s="19">
        <v>139</v>
      </c>
      <c r="AM98" s="19">
        <v>573</v>
      </c>
    </row>
    <row r="99" spans="32:39">
      <c r="AF99" s="19"/>
      <c r="AG99" s="19"/>
      <c r="AH99" s="19"/>
      <c r="AI99" s="19"/>
      <c r="AJ99" s="19"/>
      <c r="AK99" s="19"/>
      <c r="AL99" s="19">
        <v>140</v>
      </c>
      <c r="AM99" s="19">
        <v>583</v>
      </c>
    </row>
    <row r="100" spans="32:39">
      <c r="AF100" s="19"/>
      <c r="AG100" s="19"/>
      <c r="AH100" s="19"/>
      <c r="AI100" s="19"/>
      <c r="AJ100" s="19"/>
      <c r="AK100" s="19"/>
      <c r="AL100" s="19">
        <v>141</v>
      </c>
      <c r="AM100" s="19">
        <v>592</v>
      </c>
    </row>
    <row r="101" spans="32:39">
      <c r="AF101" s="19"/>
      <c r="AG101" s="19"/>
      <c r="AH101" s="19"/>
      <c r="AI101" s="19"/>
      <c r="AJ101" s="19"/>
      <c r="AK101" s="19"/>
      <c r="AL101" s="19">
        <v>142</v>
      </c>
      <c r="AM101" s="19">
        <v>601</v>
      </c>
    </row>
    <row r="102" spans="32:39">
      <c r="AF102" s="19"/>
      <c r="AG102" s="19"/>
      <c r="AH102" s="19"/>
      <c r="AI102" s="19"/>
      <c r="AJ102" s="19"/>
      <c r="AK102" s="19"/>
      <c r="AL102" s="19">
        <v>143</v>
      </c>
      <c r="AM102" s="19">
        <v>611</v>
      </c>
    </row>
    <row r="103" spans="32:39">
      <c r="AF103" s="19"/>
      <c r="AG103" s="19"/>
      <c r="AH103" s="19"/>
      <c r="AI103" s="19"/>
      <c r="AJ103" s="19"/>
      <c r="AK103" s="19"/>
      <c r="AL103" s="19">
        <v>144</v>
      </c>
      <c r="AM103" s="19">
        <v>620</v>
      </c>
    </row>
    <row r="104" spans="32:39">
      <c r="AF104" s="19"/>
      <c r="AG104" s="19"/>
      <c r="AH104" s="19"/>
      <c r="AI104" s="19"/>
      <c r="AJ104" s="19"/>
      <c r="AK104" s="19"/>
      <c r="AL104" s="19">
        <v>145</v>
      </c>
      <c r="AM104" s="19">
        <v>629</v>
      </c>
    </row>
    <row r="105" spans="32:39">
      <c r="AF105" s="19"/>
      <c r="AG105" s="19"/>
      <c r="AH105" s="19"/>
      <c r="AI105" s="19"/>
      <c r="AJ105" s="19"/>
      <c r="AK105" s="19"/>
      <c r="AL105" s="19">
        <v>146</v>
      </c>
      <c r="AM105" s="19">
        <v>638</v>
      </c>
    </row>
    <row r="106" spans="32:39">
      <c r="AF106" s="19"/>
      <c r="AG106" s="19"/>
      <c r="AH106" s="19"/>
      <c r="AI106" s="19"/>
      <c r="AJ106" s="19"/>
      <c r="AK106" s="19"/>
      <c r="AL106" s="19">
        <v>147</v>
      </c>
      <c r="AM106" s="19">
        <v>648</v>
      </c>
    </row>
    <row r="107" spans="32:39">
      <c r="AF107" s="19"/>
      <c r="AG107" s="19"/>
      <c r="AH107" s="19"/>
      <c r="AI107" s="19"/>
      <c r="AJ107" s="19"/>
      <c r="AK107" s="19"/>
      <c r="AL107" s="19">
        <v>148</v>
      </c>
      <c r="AM107" s="19">
        <v>657</v>
      </c>
    </row>
    <row r="108" spans="32:39">
      <c r="AF108" s="19"/>
      <c r="AG108" s="19"/>
      <c r="AH108" s="19"/>
      <c r="AI108" s="19"/>
      <c r="AJ108" s="19"/>
      <c r="AK108" s="19"/>
      <c r="AL108" s="19">
        <v>149</v>
      </c>
      <c r="AM108" s="19">
        <v>666</v>
      </c>
    </row>
    <row r="109" spans="32:39">
      <c r="AF109" s="19"/>
      <c r="AG109" s="19"/>
      <c r="AH109" s="19"/>
      <c r="AI109" s="19"/>
      <c r="AJ109" s="19"/>
      <c r="AK109" s="19"/>
      <c r="AL109" s="19">
        <v>150</v>
      </c>
      <c r="AM109" s="19">
        <v>676</v>
      </c>
    </row>
    <row r="110" spans="32:39">
      <c r="AF110" s="19"/>
      <c r="AG110" s="19"/>
      <c r="AH110" s="19"/>
      <c r="AI110" s="19"/>
      <c r="AJ110" s="19"/>
      <c r="AK110" s="19"/>
      <c r="AL110" s="19">
        <v>151</v>
      </c>
      <c r="AM110" s="19">
        <v>685</v>
      </c>
    </row>
    <row r="111" spans="32:39">
      <c r="AF111" s="19"/>
      <c r="AG111" s="19"/>
      <c r="AH111" s="19"/>
      <c r="AI111" s="19"/>
      <c r="AJ111" s="19"/>
      <c r="AK111" s="19"/>
      <c r="AL111" s="19">
        <v>152</v>
      </c>
      <c r="AM111" s="19">
        <v>694</v>
      </c>
    </row>
    <row r="112" spans="32:39">
      <c r="AF112" s="19"/>
      <c r="AG112" s="19"/>
      <c r="AH112" s="19"/>
      <c r="AI112" s="19"/>
      <c r="AJ112" s="19"/>
      <c r="AK112" s="19"/>
      <c r="AL112" s="19">
        <v>153</v>
      </c>
      <c r="AM112" s="19">
        <v>703</v>
      </c>
    </row>
    <row r="113" spans="32:39">
      <c r="AF113" s="19"/>
      <c r="AG113" s="19"/>
      <c r="AH113" s="19"/>
      <c r="AI113" s="19"/>
      <c r="AJ113" s="19"/>
      <c r="AK113" s="19"/>
      <c r="AL113" s="19">
        <v>154</v>
      </c>
      <c r="AM113" s="19">
        <v>713</v>
      </c>
    </row>
    <row r="114" spans="32:39">
      <c r="AF114" s="19"/>
      <c r="AG114" s="19"/>
      <c r="AH114" s="19"/>
      <c r="AI114" s="19"/>
      <c r="AJ114" s="19"/>
      <c r="AK114" s="19"/>
      <c r="AL114" s="19">
        <v>155</v>
      </c>
      <c r="AM114" s="19">
        <v>722</v>
      </c>
    </row>
    <row r="115" spans="32:39">
      <c r="AF115" s="19"/>
      <c r="AG115" s="19"/>
      <c r="AH115" s="19"/>
      <c r="AI115" s="19"/>
      <c r="AJ115" s="19"/>
      <c r="AK115" s="19"/>
      <c r="AL115" s="19">
        <v>156</v>
      </c>
      <c r="AM115" s="19">
        <v>731</v>
      </c>
    </row>
    <row r="116" spans="32:39">
      <c r="AF116" s="19"/>
      <c r="AG116" s="19"/>
      <c r="AH116" s="19"/>
      <c r="AI116" s="19"/>
      <c r="AJ116" s="19"/>
      <c r="AK116" s="19"/>
      <c r="AL116" s="19">
        <v>157</v>
      </c>
      <c r="AM116" s="19">
        <v>741</v>
      </c>
    </row>
    <row r="117" spans="32:39">
      <c r="AF117" s="19"/>
      <c r="AG117" s="19"/>
      <c r="AH117" s="19"/>
      <c r="AI117" s="19"/>
      <c r="AJ117" s="19"/>
      <c r="AK117" s="19"/>
      <c r="AL117" s="19">
        <v>158</v>
      </c>
      <c r="AM117" s="19">
        <v>750</v>
      </c>
    </row>
    <row r="118" spans="32:39">
      <c r="AF118" s="19"/>
      <c r="AG118" s="19"/>
      <c r="AH118" s="19"/>
      <c r="AI118" s="19"/>
      <c r="AJ118" s="19"/>
      <c r="AK118" s="19"/>
      <c r="AL118" s="19">
        <v>159</v>
      </c>
      <c r="AM118" s="19">
        <v>759</v>
      </c>
    </row>
    <row r="119" spans="32:39">
      <c r="AF119" s="19"/>
      <c r="AG119" s="19"/>
      <c r="AH119" s="19"/>
      <c r="AI119" s="19"/>
      <c r="AJ119" s="19"/>
      <c r="AK119" s="19"/>
      <c r="AL119" s="19">
        <v>160</v>
      </c>
      <c r="AM119" s="19">
        <v>768</v>
      </c>
    </row>
    <row r="120" spans="32:39">
      <c r="AF120" s="19"/>
      <c r="AG120" s="19"/>
      <c r="AH120" s="19"/>
      <c r="AI120" s="19"/>
      <c r="AJ120" s="19"/>
      <c r="AK120" s="19"/>
      <c r="AL120" s="19">
        <v>161</v>
      </c>
      <c r="AM120" s="19">
        <v>778</v>
      </c>
    </row>
    <row r="121" spans="32:39">
      <c r="AF121" s="19"/>
      <c r="AG121" s="19"/>
      <c r="AH121" s="19"/>
      <c r="AI121" s="19"/>
      <c r="AJ121" s="19"/>
      <c r="AK121" s="19"/>
      <c r="AL121" s="19">
        <v>162</v>
      </c>
      <c r="AM121" s="19">
        <v>787</v>
      </c>
    </row>
    <row r="122" spans="32:39">
      <c r="AF122" s="19"/>
      <c r="AG122" s="19"/>
      <c r="AH122" s="19"/>
      <c r="AI122" s="19"/>
      <c r="AJ122" s="19"/>
      <c r="AK122" s="19"/>
      <c r="AL122" s="19">
        <v>163</v>
      </c>
      <c r="AM122" s="19">
        <v>796</v>
      </c>
    </row>
    <row r="123" spans="32:39">
      <c r="AF123" s="19"/>
      <c r="AG123" s="19"/>
      <c r="AH123" s="19"/>
      <c r="AI123" s="19"/>
      <c r="AJ123" s="19"/>
      <c r="AK123" s="19"/>
      <c r="AL123" s="19">
        <v>164</v>
      </c>
      <c r="AM123" s="19">
        <v>806</v>
      </c>
    </row>
    <row r="124" spans="32:39">
      <c r="AF124" s="19"/>
      <c r="AG124" s="19"/>
      <c r="AH124" s="19"/>
      <c r="AI124" s="19"/>
      <c r="AJ124" s="19"/>
      <c r="AK124" s="19"/>
      <c r="AL124" s="19">
        <v>165</v>
      </c>
      <c r="AM124" s="19">
        <v>815</v>
      </c>
    </row>
    <row r="125" spans="32:39">
      <c r="AF125" s="19"/>
      <c r="AG125" s="19"/>
      <c r="AH125" s="19"/>
      <c r="AI125" s="19"/>
      <c r="AJ125" s="19"/>
      <c r="AK125" s="19"/>
      <c r="AL125" s="19">
        <v>166</v>
      </c>
      <c r="AM125" s="19">
        <v>824</v>
      </c>
    </row>
    <row r="126" spans="32:39">
      <c r="AF126" s="19"/>
      <c r="AG126" s="19"/>
      <c r="AH126" s="19"/>
      <c r="AI126" s="19"/>
      <c r="AJ126" s="19"/>
      <c r="AK126" s="19"/>
      <c r="AL126" s="19">
        <v>167</v>
      </c>
      <c r="AM126" s="19">
        <v>834</v>
      </c>
    </row>
    <row r="127" spans="32:39">
      <c r="AF127" s="19"/>
      <c r="AG127" s="19"/>
      <c r="AH127" s="19"/>
      <c r="AI127" s="19"/>
      <c r="AJ127" s="19"/>
      <c r="AK127" s="19"/>
      <c r="AL127" s="19">
        <v>168</v>
      </c>
      <c r="AM127" s="19">
        <v>843</v>
      </c>
    </row>
    <row r="128" spans="32:39">
      <c r="AF128" s="19"/>
      <c r="AG128" s="19"/>
      <c r="AH128" s="19"/>
      <c r="AI128" s="19"/>
      <c r="AJ128" s="19"/>
      <c r="AK128" s="19"/>
      <c r="AL128" s="19">
        <v>169</v>
      </c>
      <c r="AM128" s="19">
        <v>852</v>
      </c>
    </row>
    <row r="129" spans="32:39">
      <c r="AF129" s="19"/>
      <c r="AG129" s="19"/>
      <c r="AH129" s="19"/>
      <c r="AI129" s="19"/>
      <c r="AJ129" s="19"/>
      <c r="AK129" s="19"/>
      <c r="AL129" s="19">
        <v>170</v>
      </c>
      <c r="AM129" s="19">
        <v>861</v>
      </c>
    </row>
    <row r="130" spans="32:39">
      <c r="AF130" s="19"/>
      <c r="AG130" s="19"/>
      <c r="AH130" s="19"/>
      <c r="AI130" s="19"/>
      <c r="AJ130" s="19"/>
      <c r="AK130" s="19"/>
      <c r="AL130" s="19">
        <v>171</v>
      </c>
      <c r="AM130" s="19">
        <v>871</v>
      </c>
    </row>
    <row r="131" spans="32:39">
      <c r="AF131" s="19"/>
      <c r="AG131" s="19"/>
      <c r="AH131" s="19"/>
      <c r="AI131" s="19"/>
      <c r="AJ131" s="19"/>
      <c r="AK131" s="19"/>
      <c r="AL131" s="19">
        <v>172</v>
      </c>
      <c r="AM131" s="19">
        <v>880</v>
      </c>
    </row>
    <row r="132" spans="32:39">
      <c r="AF132" s="19"/>
      <c r="AG132" s="19"/>
      <c r="AH132" s="19"/>
      <c r="AI132" s="19"/>
      <c r="AJ132" s="19"/>
      <c r="AK132" s="19"/>
      <c r="AL132" s="19">
        <v>173</v>
      </c>
      <c r="AM132" s="19">
        <v>889</v>
      </c>
    </row>
    <row r="133" spans="32:39">
      <c r="AF133" s="19"/>
      <c r="AG133" s="19"/>
      <c r="AH133" s="19"/>
      <c r="AI133" s="19"/>
      <c r="AJ133" s="19"/>
      <c r="AK133" s="19"/>
      <c r="AL133" s="19">
        <v>174</v>
      </c>
      <c r="AM133" s="19">
        <v>899</v>
      </c>
    </row>
    <row r="134" spans="32:39">
      <c r="AF134" s="19"/>
      <c r="AG134" s="19"/>
      <c r="AH134" s="19"/>
      <c r="AI134" s="19"/>
      <c r="AJ134" s="19"/>
      <c r="AK134" s="19"/>
      <c r="AL134" s="19">
        <v>175</v>
      </c>
      <c r="AM134" s="19">
        <v>908</v>
      </c>
    </row>
    <row r="135" spans="32:39">
      <c r="AF135" s="19"/>
      <c r="AG135" s="19"/>
      <c r="AH135" s="19"/>
      <c r="AI135" s="19"/>
      <c r="AJ135" s="19"/>
      <c r="AK135" s="19"/>
      <c r="AL135" s="19">
        <v>176</v>
      </c>
      <c r="AM135" s="19">
        <v>917</v>
      </c>
    </row>
    <row r="136" spans="32:39">
      <c r="AF136" s="19"/>
      <c r="AG136" s="19"/>
      <c r="AH136" s="19"/>
      <c r="AI136" s="19"/>
      <c r="AJ136" s="19"/>
      <c r="AK136" s="19"/>
      <c r="AL136" s="19">
        <v>177</v>
      </c>
      <c r="AM136" s="19">
        <v>926</v>
      </c>
    </row>
    <row r="137" spans="32:39">
      <c r="AF137" s="19"/>
      <c r="AG137" s="19"/>
      <c r="AH137" s="19"/>
      <c r="AI137" s="19"/>
      <c r="AJ137" s="19"/>
      <c r="AK137" s="19"/>
      <c r="AL137" s="19">
        <v>178</v>
      </c>
      <c r="AM137" s="19">
        <v>936</v>
      </c>
    </row>
    <row r="138" spans="32:39">
      <c r="AF138" s="19"/>
      <c r="AG138" s="19"/>
      <c r="AH138" s="19"/>
      <c r="AI138" s="19"/>
      <c r="AJ138" s="19"/>
      <c r="AK138" s="19"/>
      <c r="AL138" s="19">
        <v>179</v>
      </c>
      <c r="AM138" s="19">
        <v>945</v>
      </c>
    </row>
    <row r="139" spans="32:39">
      <c r="AF139" s="19"/>
      <c r="AG139" s="19"/>
      <c r="AH139" s="19"/>
      <c r="AI139" s="19"/>
      <c r="AJ139" s="19"/>
      <c r="AK139" s="19"/>
      <c r="AL139" s="19">
        <v>180</v>
      </c>
      <c r="AM139" s="19">
        <v>954</v>
      </c>
    </row>
  </sheetData>
  <mergeCells count="30">
    <mergeCell ref="K5:L6"/>
    <mergeCell ref="C7:D7"/>
    <mergeCell ref="B5:B6"/>
    <mergeCell ref="C5:E6"/>
    <mergeCell ref="F5:F6"/>
    <mergeCell ref="G5:H6"/>
    <mergeCell ref="L8:L10"/>
    <mergeCell ref="C9:D9"/>
    <mergeCell ref="C10:D10"/>
    <mergeCell ref="B8:B10"/>
    <mergeCell ref="K8:K10"/>
    <mergeCell ref="I8:I10"/>
    <mergeCell ref="J8:J10"/>
    <mergeCell ref="I3:J3"/>
    <mergeCell ref="I5:J5"/>
    <mergeCell ref="C11:D11"/>
    <mergeCell ref="G11:H11"/>
    <mergeCell ref="C8:D8"/>
    <mergeCell ref="C20:D20"/>
    <mergeCell ref="G20:H20"/>
    <mergeCell ref="B21:J21"/>
    <mergeCell ref="K21:L21"/>
    <mergeCell ref="B12:B19"/>
    <mergeCell ref="C12:D12"/>
    <mergeCell ref="I12:I19"/>
    <mergeCell ref="J12:J19"/>
    <mergeCell ref="C13:C18"/>
    <mergeCell ref="C19:D19"/>
    <mergeCell ref="K12:K19"/>
    <mergeCell ref="L12:L19"/>
  </mergeCells>
  <phoneticPr fontId="3"/>
  <pageMargins left="0.75" right="0.75" top="1" bottom="1" header="0.51200000000000001" footer="0.51200000000000001"/>
  <pageSetup paperSize="9" scale="7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139"/>
  <sheetViews>
    <sheetView view="pageBreakPreview" topLeftCell="A5" zoomScale="75" zoomScaleNormal="100" zoomScaleSheetLayoutView="75" workbookViewId="0">
      <selection activeCell="N16" sqref="N16"/>
    </sheetView>
  </sheetViews>
  <sheetFormatPr defaultColWidth="9.375" defaultRowHeight="13.5"/>
  <cols>
    <col min="2" max="2" width="9.375" style="10"/>
    <col min="5" max="5" width="12.625" style="10" customWidth="1"/>
    <col min="6" max="6" width="31.25" style="10" customWidth="1"/>
    <col min="7" max="7" width="12.625" style="10" customWidth="1"/>
    <col min="8" max="8" width="9.625" style="10" bestFit="1" customWidth="1"/>
    <col min="9" max="9" width="9.625" style="10" customWidth="1"/>
    <col min="10" max="10" width="14.625" style="10" bestFit="1" customWidth="1"/>
    <col min="11" max="11" width="9.625" style="10" customWidth="1"/>
    <col min="12" max="12" width="12.5" style="10" bestFit="1" customWidth="1"/>
    <col min="13" max="14" width="9.5" bestFit="1" customWidth="1"/>
    <col min="16" max="17" width="9.5" bestFit="1" customWidth="1"/>
    <col min="19" max="20" width="12.125" bestFit="1" customWidth="1"/>
    <col min="30" max="31" width="12.125" style="63" bestFit="1" customWidth="1"/>
    <col min="34" max="35" width="11" bestFit="1" customWidth="1"/>
    <col min="45" max="46" width="12.125" bestFit="1" customWidth="1"/>
  </cols>
  <sheetData>
    <row r="1" spans="2:31" ht="21.75" customHeight="1">
      <c r="B1" s="42" t="s">
        <v>64</v>
      </c>
    </row>
    <row r="2" spans="2:31" ht="8.25" customHeight="1">
      <c r="B2" s="21"/>
      <c r="K2" s="55"/>
    </row>
    <row r="3" spans="2:31" s="22" customFormat="1" ht="19.899999999999999" customHeight="1">
      <c r="E3" s="23" t="s">
        <v>0</v>
      </c>
      <c r="F3" s="44">
        <f>様式４総括表!J3</f>
        <v>0</v>
      </c>
      <c r="G3" s="45" t="s">
        <v>69</v>
      </c>
      <c r="H3" s="44">
        <f>様式４総括表!F4</f>
        <v>0</v>
      </c>
      <c r="I3" s="182" t="s">
        <v>32</v>
      </c>
      <c r="J3" s="183"/>
      <c r="K3" s="56">
        <f>希望１位!K3</f>
        <v>6</v>
      </c>
      <c r="AD3" s="64"/>
      <c r="AE3" s="64"/>
    </row>
    <row r="4" spans="2:31" ht="8.25" customHeight="1" thickBot="1">
      <c r="J4" s="11"/>
      <c r="K4" s="55"/>
    </row>
    <row r="5" spans="2:31" ht="19.899999999999999" customHeight="1">
      <c r="B5" s="206" t="s">
        <v>33</v>
      </c>
      <c r="C5" s="208" t="s">
        <v>34</v>
      </c>
      <c r="D5" s="209"/>
      <c r="E5" s="210"/>
      <c r="F5" s="214" t="s">
        <v>35</v>
      </c>
      <c r="G5" s="215" t="s">
        <v>36</v>
      </c>
      <c r="H5" s="216"/>
      <c r="I5" s="184" t="s">
        <v>37</v>
      </c>
      <c r="J5" s="185"/>
      <c r="K5" s="200" t="s">
        <v>38</v>
      </c>
      <c r="L5" s="201"/>
    </row>
    <row r="6" spans="2:31" ht="40.5" customHeight="1">
      <c r="B6" s="207"/>
      <c r="C6" s="211"/>
      <c r="D6" s="212"/>
      <c r="E6" s="213"/>
      <c r="F6" s="207"/>
      <c r="G6" s="217"/>
      <c r="H6" s="218"/>
      <c r="I6" s="12" t="s">
        <v>39</v>
      </c>
      <c r="J6" s="13" t="s">
        <v>40</v>
      </c>
      <c r="K6" s="202"/>
      <c r="L6" s="203"/>
    </row>
    <row r="7" spans="2:31" ht="40.5" customHeight="1">
      <c r="B7" s="14" t="s">
        <v>41</v>
      </c>
      <c r="C7" s="204" t="s">
        <v>65</v>
      </c>
      <c r="D7" s="205"/>
      <c r="E7" s="36">
        <f>様式４総括表!P14</f>
        <v>0</v>
      </c>
      <c r="F7" s="30"/>
      <c r="G7" s="43">
        <f>E7</f>
        <v>0</v>
      </c>
      <c r="H7" s="75">
        <f>VLOOKUP(E7,$S$48:$U$92,3)</f>
        <v>397</v>
      </c>
      <c r="I7" s="74" t="s">
        <v>42</v>
      </c>
      <c r="J7" s="73">
        <f>H7</f>
        <v>397</v>
      </c>
      <c r="K7" s="57" t="s">
        <v>77</v>
      </c>
      <c r="L7" s="41">
        <f>J7*0.25</f>
        <v>99.25</v>
      </c>
      <c r="M7" s="15"/>
      <c r="N7" s="16">
        <f>L7</f>
        <v>99.25</v>
      </c>
    </row>
    <row r="8" spans="2:31" ht="40.5" customHeight="1">
      <c r="B8" s="194" t="s">
        <v>43</v>
      </c>
      <c r="C8" s="189" t="s">
        <v>66</v>
      </c>
      <c r="D8" s="190"/>
      <c r="E8" s="37">
        <f>様式４総括表!P30</f>
        <v>0</v>
      </c>
      <c r="F8" s="69" t="s">
        <v>79</v>
      </c>
      <c r="G8" s="68">
        <f>E8</f>
        <v>0</v>
      </c>
      <c r="H8" s="38">
        <f>VLOOKUP(G8,$AD$49:$AF$109,3)</f>
        <v>361</v>
      </c>
      <c r="I8" s="198" t="s">
        <v>42</v>
      </c>
      <c r="J8" s="199">
        <f>H10</f>
        <v>454</v>
      </c>
      <c r="K8" s="197" t="s">
        <v>78</v>
      </c>
      <c r="L8" s="191">
        <f>J8*0.15</f>
        <v>68.099999999999994</v>
      </c>
      <c r="M8" s="15"/>
      <c r="N8" s="16"/>
    </row>
    <row r="9" spans="2:31" ht="40.5" customHeight="1">
      <c r="B9" s="195"/>
      <c r="C9" s="189" t="s">
        <v>76</v>
      </c>
      <c r="D9" s="190"/>
      <c r="E9" s="37">
        <f>様式４総括表!P31</f>
        <v>0</v>
      </c>
      <c r="F9" s="33" t="s">
        <v>44</v>
      </c>
      <c r="G9" s="68">
        <f>IF(E9&lt;0,0,E9)</f>
        <v>0</v>
      </c>
      <c r="H9" s="38">
        <f>VLOOKUP(G9,$AH$49:$AJ$79,3)</f>
        <v>547</v>
      </c>
      <c r="I9" s="198"/>
      <c r="J9" s="199"/>
      <c r="K9" s="197"/>
      <c r="L9" s="192"/>
      <c r="M9" s="15"/>
      <c r="N9" s="16"/>
    </row>
    <row r="10" spans="2:31" ht="40.5" customHeight="1">
      <c r="B10" s="196"/>
      <c r="C10" s="193" t="s">
        <v>85</v>
      </c>
      <c r="D10" s="186"/>
      <c r="E10" s="37"/>
      <c r="F10" s="30"/>
      <c r="G10" s="43"/>
      <c r="H10" s="39">
        <f>INT((H8+H9)/2)</f>
        <v>454</v>
      </c>
      <c r="I10" s="198"/>
      <c r="J10" s="199"/>
      <c r="K10" s="197"/>
      <c r="L10" s="192"/>
      <c r="M10" s="15"/>
      <c r="N10" s="16">
        <f>L8</f>
        <v>68.099999999999994</v>
      </c>
    </row>
    <row r="11" spans="2:31" ht="40.5" customHeight="1">
      <c r="B11" s="31" t="s">
        <v>45</v>
      </c>
      <c r="C11" s="186" t="s">
        <v>46</v>
      </c>
      <c r="D11" s="186"/>
      <c r="E11" s="37">
        <f>様式４総括表!P28</f>
        <v>0</v>
      </c>
      <c r="F11" s="30"/>
      <c r="G11" s="187">
        <f>E11</f>
        <v>0</v>
      </c>
      <c r="H11" s="188"/>
      <c r="I11" s="32" t="s">
        <v>47</v>
      </c>
      <c r="J11" s="40">
        <f>ROUND(E11/K3,0)</f>
        <v>0</v>
      </c>
      <c r="K11" s="58" t="s">
        <v>67</v>
      </c>
      <c r="L11" s="41">
        <f>J11*0.2</f>
        <v>0</v>
      </c>
      <c r="M11" s="15"/>
      <c r="N11" s="16">
        <f>L11</f>
        <v>0</v>
      </c>
    </row>
    <row r="12" spans="2:31" ht="25.5" customHeight="1">
      <c r="B12" s="161" t="s">
        <v>87</v>
      </c>
      <c r="C12" s="164" t="s">
        <v>88</v>
      </c>
      <c r="D12" s="165"/>
      <c r="E12" s="36">
        <f>様式４総括表!P15</f>
        <v>0</v>
      </c>
      <c r="F12" s="30"/>
      <c r="G12" s="43">
        <f>E12</f>
        <v>0</v>
      </c>
      <c r="H12" s="75">
        <f>VLOOKUP(E12,$AS$48:$AU$90,3)</f>
        <v>241</v>
      </c>
      <c r="I12" s="166" t="s">
        <v>99</v>
      </c>
      <c r="J12" s="169">
        <f>H19</f>
        <v>456</v>
      </c>
      <c r="K12" s="176" t="s">
        <v>98</v>
      </c>
      <c r="L12" s="179">
        <f>J12*0.25</f>
        <v>114</v>
      </c>
      <c r="M12" s="15"/>
      <c r="N12" s="16"/>
    </row>
    <row r="13" spans="2:31" s="10" customFormat="1" ht="25.5" customHeight="1">
      <c r="B13" s="162"/>
      <c r="C13" s="172" t="s">
        <v>48</v>
      </c>
      <c r="D13" s="76" t="s">
        <v>89</v>
      </c>
      <c r="E13" s="37">
        <f>様式４総括表!P16</f>
        <v>0</v>
      </c>
      <c r="F13" s="30" t="s">
        <v>93</v>
      </c>
      <c r="G13" s="91">
        <f>E13*6</f>
        <v>0</v>
      </c>
      <c r="H13" s="39"/>
      <c r="I13" s="167"/>
      <c r="J13" s="170"/>
      <c r="K13" s="177"/>
      <c r="L13" s="180"/>
      <c r="M13" s="15"/>
      <c r="N13" s="16"/>
      <c r="AD13" s="65"/>
      <c r="AE13" s="65"/>
    </row>
    <row r="14" spans="2:31" s="10" customFormat="1" ht="25.5" customHeight="1">
      <c r="B14" s="162"/>
      <c r="C14" s="172"/>
      <c r="D14" s="76" t="s">
        <v>90</v>
      </c>
      <c r="E14" s="37">
        <f>様式４総括表!P17</f>
        <v>0</v>
      </c>
      <c r="F14" s="30" t="s">
        <v>49</v>
      </c>
      <c r="G14" s="91">
        <f>E14*5</f>
        <v>0</v>
      </c>
      <c r="H14" s="39"/>
      <c r="I14" s="167"/>
      <c r="J14" s="170"/>
      <c r="K14" s="177"/>
      <c r="L14" s="180"/>
      <c r="M14" s="15"/>
      <c r="N14" s="16"/>
      <c r="AD14" s="65"/>
      <c r="AE14" s="65"/>
    </row>
    <row r="15" spans="2:31" s="10" customFormat="1" ht="25.5" customHeight="1">
      <c r="B15" s="162"/>
      <c r="C15" s="172"/>
      <c r="D15" s="76" t="s">
        <v>91</v>
      </c>
      <c r="E15" s="37">
        <f>様式４総括表!P18</f>
        <v>0</v>
      </c>
      <c r="F15" s="30" t="s">
        <v>92</v>
      </c>
      <c r="G15" s="91">
        <f>E15*3</f>
        <v>0</v>
      </c>
      <c r="H15" s="39"/>
      <c r="I15" s="167"/>
      <c r="J15" s="170"/>
      <c r="K15" s="177"/>
      <c r="L15" s="180"/>
      <c r="M15" s="15"/>
      <c r="N15" s="16"/>
      <c r="AD15" s="65"/>
      <c r="AE15" s="65"/>
    </row>
    <row r="16" spans="2:31" s="10" customFormat="1" ht="25.5" customHeight="1">
      <c r="B16" s="162"/>
      <c r="C16" s="173"/>
      <c r="D16" s="76" t="s">
        <v>50</v>
      </c>
      <c r="E16" s="37">
        <f>様式４総括表!P19</f>
        <v>0</v>
      </c>
      <c r="F16" s="30" t="s">
        <v>51</v>
      </c>
      <c r="G16" s="91">
        <f>E16*2</f>
        <v>0</v>
      </c>
      <c r="H16" s="39"/>
      <c r="I16" s="167"/>
      <c r="J16" s="170"/>
      <c r="K16" s="177"/>
      <c r="L16" s="180"/>
      <c r="M16" s="15"/>
      <c r="N16" s="16">
        <f>L16</f>
        <v>0</v>
      </c>
      <c r="AD16" s="65"/>
      <c r="AE16" s="65"/>
    </row>
    <row r="17" spans="2:31" s="10" customFormat="1" ht="25.5" customHeight="1">
      <c r="B17" s="162"/>
      <c r="C17" s="173"/>
      <c r="D17" s="76" t="s">
        <v>52</v>
      </c>
      <c r="E17" s="37">
        <f>様式４総括表!P20</f>
        <v>0</v>
      </c>
      <c r="F17" s="30" t="s">
        <v>53</v>
      </c>
      <c r="G17" s="91">
        <f>E17</f>
        <v>0</v>
      </c>
      <c r="H17" s="39"/>
      <c r="I17" s="167"/>
      <c r="J17" s="170"/>
      <c r="K17" s="177"/>
      <c r="L17" s="180"/>
      <c r="M17" s="15">
        <f>SUM(E13:E17)</f>
        <v>0</v>
      </c>
      <c r="N17" s="17">
        <f>VLOOKUP(M17,$Z$48:$AA$77,2)*0.2</f>
        <v>118</v>
      </c>
      <c r="P17" s="10">
        <v>100000</v>
      </c>
      <c r="Q17" s="10">
        <f>VLOOKUP(P17,$S$48:$U$92,2)</f>
        <v>120000</v>
      </c>
      <c r="AD17" s="65"/>
      <c r="AE17" s="65"/>
    </row>
    <row r="18" spans="2:31" s="10" customFormat="1" ht="25.5" customHeight="1">
      <c r="B18" s="162"/>
      <c r="C18" s="173"/>
      <c r="D18" s="31" t="s">
        <v>54</v>
      </c>
      <c r="E18" s="37"/>
      <c r="F18" s="30"/>
      <c r="G18" s="91">
        <f>SUM(G13:G17)</f>
        <v>0</v>
      </c>
      <c r="H18" s="38">
        <f>VLOOKUP(G18,$AO$45:$AQ$77,3)</f>
        <v>510</v>
      </c>
      <c r="I18" s="167"/>
      <c r="J18" s="170"/>
      <c r="K18" s="177"/>
      <c r="L18" s="180"/>
      <c r="M18" s="15"/>
      <c r="N18" s="17"/>
      <c r="AD18" s="65"/>
      <c r="AE18" s="65"/>
    </row>
    <row r="19" spans="2:31" s="10" customFormat="1" ht="25.5" customHeight="1">
      <c r="B19" s="163"/>
      <c r="C19" s="174" t="s">
        <v>100</v>
      </c>
      <c r="D19" s="175"/>
      <c r="E19" s="47"/>
      <c r="F19" s="48"/>
      <c r="G19" s="88"/>
      <c r="H19" s="89">
        <f>INT(H12*0.2)+INT(H18*0.8)</f>
        <v>456</v>
      </c>
      <c r="I19" s="168"/>
      <c r="J19" s="171"/>
      <c r="K19" s="178"/>
      <c r="L19" s="181"/>
      <c r="M19" s="15"/>
      <c r="N19" s="17"/>
      <c r="AD19" s="65"/>
      <c r="AE19" s="65"/>
    </row>
    <row r="20" spans="2:31" s="10" customFormat="1" ht="40.5" customHeight="1" thickBot="1">
      <c r="B20" s="46" t="s">
        <v>55</v>
      </c>
      <c r="C20" s="152" t="s">
        <v>56</v>
      </c>
      <c r="D20" s="153"/>
      <c r="E20" s="47">
        <f>様式４総括表!P29</f>
        <v>0</v>
      </c>
      <c r="F20" s="48"/>
      <c r="G20" s="154">
        <f>E20</f>
        <v>0</v>
      </c>
      <c r="H20" s="155"/>
      <c r="I20" s="51" t="s">
        <v>47</v>
      </c>
      <c r="J20" s="49">
        <f>ROUND(E20/K3,0)</f>
        <v>0</v>
      </c>
      <c r="K20" s="87" t="s">
        <v>68</v>
      </c>
      <c r="L20" s="50">
        <f>J20*0.15</f>
        <v>0</v>
      </c>
      <c r="M20" s="15"/>
      <c r="N20" s="16">
        <f>L20</f>
        <v>0</v>
      </c>
      <c r="AD20" s="65"/>
      <c r="AE20" s="65"/>
    </row>
    <row r="21" spans="2:31" ht="35.25" customHeight="1" thickTop="1" thickBot="1">
      <c r="B21" s="156" t="s">
        <v>71</v>
      </c>
      <c r="C21" s="157"/>
      <c r="D21" s="157"/>
      <c r="E21" s="157"/>
      <c r="F21" s="157"/>
      <c r="G21" s="157"/>
      <c r="H21" s="157"/>
      <c r="I21" s="157"/>
      <c r="J21" s="158"/>
      <c r="K21" s="159">
        <f>SUM(L7:L20)</f>
        <v>281.35000000000002</v>
      </c>
      <c r="L21" s="160"/>
      <c r="M21" s="15"/>
      <c r="N21" s="15"/>
    </row>
    <row r="22" spans="2:31" ht="19.899999999999999" customHeight="1">
      <c r="K22" s="55"/>
      <c r="M22" s="15"/>
      <c r="N22" s="15"/>
    </row>
    <row r="23" spans="2:31" ht="19.899999999999999" customHeight="1" thickBot="1">
      <c r="I23" s="18"/>
      <c r="J23" s="18"/>
      <c r="K23" s="59"/>
      <c r="M23" s="15"/>
      <c r="N23" s="15">
        <f>ROUND((N7+N17+N10+N11+N20),0)</f>
        <v>285</v>
      </c>
    </row>
    <row r="24" spans="2:31" ht="19.899999999999999" customHeight="1" thickTop="1" thickBot="1">
      <c r="K24" s="60" t="s">
        <v>70</v>
      </c>
      <c r="L24" s="92">
        <f>ROUND((L7+L12+L8+L11+L20),0)</f>
        <v>281</v>
      </c>
    </row>
    <row r="25" spans="2:31" ht="19.899999999999999" customHeight="1" thickTop="1">
      <c r="K25" s="61" t="s">
        <v>72</v>
      </c>
    </row>
    <row r="26" spans="2:31" ht="19.899999999999999" customHeight="1">
      <c r="K26" s="55"/>
    </row>
    <row r="27" spans="2:31" ht="19.899999999999999" customHeight="1">
      <c r="K27" s="55"/>
    </row>
    <row r="28" spans="2:31" ht="19.899999999999999" customHeight="1">
      <c r="K28" s="55"/>
    </row>
    <row r="29" spans="2:31" ht="19.899999999999999" customHeight="1">
      <c r="K29" s="55"/>
    </row>
    <row r="30" spans="2:31" ht="19.899999999999999" customHeight="1">
      <c r="K30" s="55"/>
    </row>
    <row r="31" spans="2:31" ht="19.899999999999999" customHeight="1">
      <c r="K31" s="55"/>
    </row>
    <row r="32" spans="2:31" ht="19.899999999999999" customHeight="1">
      <c r="K32" s="55"/>
    </row>
    <row r="33" spans="2:47" ht="19.899999999999999" customHeight="1">
      <c r="K33" s="55"/>
    </row>
    <row r="34" spans="2:47" ht="19.899999999999999" customHeight="1">
      <c r="K34" s="55"/>
    </row>
    <row r="35" spans="2:47" ht="19.899999999999999" customHeight="1">
      <c r="K35" s="55"/>
    </row>
    <row r="36" spans="2:47" ht="19.899999999999999" customHeight="1">
      <c r="K36" s="55"/>
    </row>
    <row r="37" spans="2:47" ht="19.899999999999999" customHeight="1">
      <c r="K37" s="55"/>
    </row>
    <row r="38" spans="2:47" ht="19.899999999999999" customHeight="1">
      <c r="K38" s="55"/>
    </row>
    <row r="39" spans="2:47" ht="19.899999999999999" customHeight="1">
      <c r="K39" s="55"/>
    </row>
    <row r="40" spans="2:47" ht="19.899999999999999" customHeight="1">
      <c r="K40" s="55"/>
    </row>
    <row r="41" spans="2:47" ht="19.899999999999999" customHeight="1">
      <c r="K41" s="55"/>
    </row>
    <row r="42" spans="2:47" ht="19.899999999999999" customHeight="1">
      <c r="K42" s="55"/>
    </row>
    <row r="43" spans="2:47" ht="19.899999999999999" customHeight="1">
      <c r="K43" s="55"/>
    </row>
    <row r="44" spans="2:47" ht="19.899999999999999" customHeight="1">
      <c r="K44" s="55"/>
    </row>
    <row r="45" spans="2:47" ht="19.899999999999999" customHeight="1">
      <c r="K45" s="55"/>
    </row>
    <row r="46" spans="2:47" ht="19.899999999999999" customHeight="1">
      <c r="K46" s="55"/>
    </row>
    <row r="47" spans="2:47" s="52" customFormat="1">
      <c r="B47" s="53"/>
      <c r="E47" s="53"/>
      <c r="F47" s="53"/>
      <c r="G47" s="53"/>
      <c r="H47" s="53"/>
      <c r="I47" s="53"/>
      <c r="J47" s="53"/>
      <c r="K47" s="53"/>
      <c r="L47" s="53"/>
      <c r="S47" s="52" t="s">
        <v>73</v>
      </c>
      <c r="Z47" s="52" t="s">
        <v>74</v>
      </c>
      <c r="AD47" s="66"/>
      <c r="AE47" s="67"/>
      <c r="AF47" s="54"/>
      <c r="AG47" s="54"/>
      <c r="AH47" s="54"/>
      <c r="AI47" s="54"/>
      <c r="AK47" s="54"/>
      <c r="AL47" s="54"/>
      <c r="AM47" s="54"/>
    </row>
    <row r="48" spans="2:47">
      <c r="S48" s="34">
        <v>0</v>
      </c>
      <c r="T48" s="34">
        <v>10000</v>
      </c>
      <c r="U48" s="62">
        <f>ROUNDDOWN(131*$E$7/10000+397,0)</f>
        <v>397</v>
      </c>
      <c r="Z48">
        <v>0</v>
      </c>
      <c r="AA48">
        <v>590</v>
      </c>
      <c r="AD48" s="66" t="s">
        <v>57</v>
      </c>
      <c r="AE48" s="67"/>
      <c r="AF48" s="54" t="s">
        <v>58</v>
      </c>
      <c r="AG48" s="54"/>
      <c r="AH48" s="54" t="s">
        <v>80</v>
      </c>
      <c r="AI48" s="52"/>
      <c r="AJ48" s="54" t="s">
        <v>59</v>
      </c>
      <c r="AK48" s="54"/>
      <c r="AL48" s="54" t="s">
        <v>60</v>
      </c>
      <c r="AM48" s="54" t="s">
        <v>61</v>
      </c>
      <c r="AO48" s="66" t="s">
        <v>81</v>
      </c>
      <c r="AP48" s="67"/>
      <c r="AQ48" s="54" t="s">
        <v>82</v>
      </c>
      <c r="AR48" s="54"/>
      <c r="AS48" s="54" t="s">
        <v>84</v>
      </c>
      <c r="AT48" s="52"/>
      <c r="AU48" s="54" t="s">
        <v>83</v>
      </c>
    </row>
    <row r="49" spans="19:47">
      <c r="S49" s="34">
        <v>10000</v>
      </c>
      <c r="T49" s="34">
        <v>12000</v>
      </c>
      <c r="U49" s="62">
        <f>ROUNDDOWN(11*$E$7/2000+473,0)</f>
        <v>473</v>
      </c>
      <c r="W49">
        <v>1450</v>
      </c>
      <c r="X49">
        <f>VLOOKUP(W49,$Z$48:$AA$77,2)</f>
        <v>1777</v>
      </c>
      <c r="Z49">
        <v>5</v>
      </c>
      <c r="AA49">
        <v>652</v>
      </c>
      <c r="AD49" s="34">
        <v>0</v>
      </c>
      <c r="AE49" s="34">
        <v>10000</v>
      </c>
      <c r="AF49" s="62">
        <f>ROUNDDOWN(223*$E$8/10000+361,0)</f>
        <v>361</v>
      </c>
      <c r="AG49" s="19"/>
      <c r="AH49" s="70">
        <v>0</v>
      </c>
      <c r="AI49" s="70">
        <v>10000</v>
      </c>
      <c r="AJ49" s="62">
        <f>ROUNDDOWN(78*$G$9/10000+547,0)</f>
        <v>547</v>
      </c>
      <c r="AK49" s="19"/>
      <c r="AL49" s="19">
        <v>90</v>
      </c>
      <c r="AM49" s="19">
        <v>118</v>
      </c>
      <c r="AO49" s="34">
        <v>0</v>
      </c>
      <c r="AP49" s="34">
        <v>5</v>
      </c>
      <c r="AQ49" s="72">
        <f>ROUNDDOWN(62*$G$18/5+510,0)</f>
        <v>510</v>
      </c>
      <c r="AS49" s="34">
        <v>0</v>
      </c>
      <c r="AT49" s="34">
        <v>10000</v>
      </c>
      <c r="AU49" s="62">
        <f>ROUNDDOWN(341*$G$12/10000+241,0)</f>
        <v>241</v>
      </c>
    </row>
    <row r="50" spans="19:47">
      <c r="S50" s="34">
        <v>12000</v>
      </c>
      <c r="T50" s="34">
        <v>15000</v>
      </c>
      <c r="U50" s="62">
        <f>ROUNDDOWN(14*$E$7/3000+483,0)</f>
        <v>483</v>
      </c>
      <c r="W50" t="s">
        <v>62</v>
      </c>
      <c r="Z50">
        <v>10</v>
      </c>
      <c r="AA50">
        <v>715</v>
      </c>
      <c r="AD50" s="34">
        <v>10000</v>
      </c>
      <c r="AE50" s="34">
        <v>12000</v>
      </c>
      <c r="AF50" s="62">
        <f>ROUNDDOWN(8*$E$8/2000+544,0)</f>
        <v>544</v>
      </c>
      <c r="AG50" s="19"/>
      <c r="AH50" s="70">
        <v>10000</v>
      </c>
      <c r="AI50" s="70">
        <v>12000</v>
      </c>
      <c r="AJ50" s="62">
        <f>ROUNDDOWN(6*$G$9/2000+595,0)</f>
        <v>595</v>
      </c>
      <c r="AK50" s="19"/>
      <c r="AL50" s="19">
        <v>91</v>
      </c>
      <c r="AM50" s="19">
        <v>127</v>
      </c>
      <c r="AO50" s="34">
        <v>5</v>
      </c>
      <c r="AP50" s="34">
        <v>10</v>
      </c>
      <c r="AQ50" s="72">
        <f>ROUNDDOWN(63*$G$18/5+509,0)</f>
        <v>509</v>
      </c>
      <c r="AS50" s="34">
        <v>10000</v>
      </c>
      <c r="AT50" s="34">
        <v>12000</v>
      </c>
      <c r="AU50" s="62">
        <f>ROUNDDOWN(16*$G$12/2000+502,0)</f>
        <v>502</v>
      </c>
    </row>
    <row r="51" spans="19:47">
      <c r="S51" s="34">
        <v>15000</v>
      </c>
      <c r="T51" s="34">
        <v>20000</v>
      </c>
      <c r="U51" s="62">
        <f>ROUNDDOWN(20*$E$7/5000+493,0)</f>
        <v>493</v>
      </c>
      <c r="W51" t="s">
        <v>62</v>
      </c>
      <c r="Z51">
        <v>15</v>
      </c>
      <c r="AA51">
        <v>777</v>
      </c>
      <c r="AD51" s="34">
        <v>12000</v>
      </c>
      <c r="AE51" s="34">
        <v>15000</v>
      </c>
      <c r="AF51" s="62">
        <f>ROUNDDOWN(11*$E$8/3000+548,0)</f>
        <v>548</v>
      </c>
      <c r="AG51" s="19"/>
      <c r="AH51" s="70">
        <v>12000</v>
      </c>
      <c r="AI51" s="70">
        <v>15000</v>
      </c>
      <c r="AJ51" s="62">
        <f>ROUNDDOWN(7*$G$9/3000+603,0)</f>
        <v>603</v>
      </c>
      <c r="AK51" s="19"/>
      <c r="AL51" s="19">
        <v>92</v>
      </c>
      <c r="AM51" s="19">
        <v>137</v>
      </c>
      <c r="AO51" s="34">
        <v>10</v>
      </c>
      <c r="AP51" s="34">
        <v>15</v>
      </c>
      <c r="AQ51" s="72">
        <f>ROUNDDOWN(62*$G$18/5+511,0)</f>
        <v>511</v>
      </c>
      <c r="AS51" s="34">
        <v>12000</v>
      </c>
      <c r="AT51" s="34">
        <v>15000</v>
      </c>
      <c r="AU51" s="62">
        <f>ROUNDDOWN(19*$G$12/3000+522,0)</f>
        <v>522</v>
      </c>
    </row>
    <row r="52" spans="19:47">
      <c r="S52" s="34">
        <v>20000</v>
      </c>
      <c r="T52" s="34">
        <v>25000</v>
      </c>
      <c r="U52" s="62">
        <f>ROUNDDOWN(16*$E$7/5000+509,0)</f>
        <v>509</v>
      </c>
      <c r="W52" t="s">
        <v>62</v>
      </c>
      <c r="Z52">
        <v>20</v>
      </c>
      <c r="AA52">
        <v>840</v>
      </c>
      <c r="AD52" s="34">
        <v>15000</v>
      </c>
      <c r="AE52" s="34">
        <v>20000</v>
      </c>
      <c r="AF52" s="62">
        <f>ROUNDDOWN(14*$E$8/5000+561,0)</f>
        <v>561</v>
      </c>
      <c r="AG52" s="19"/>
      <c r="AH52" s="70">
        <v>15000</v>
      </c>
      <c r="AI52" s="70">
        <v>20000</v>
      </c>
      <c r="AJ52" s="62">
        <f>ROUNDDOWN(11*$G$9/5000+605,0)</f>
        <v>605</v>
      </c>
      <c r="AK52" s="19"/>
      <c r="AL52" s="19">
        <v>93</v>
      </c>
      <c r="AM52" s="19">
        <v>146</v>
      </c>
      <c r="AO52" s="34">
        <v>15</v>
      </c>
      <c r="AP52" s="34">
        <v>20</v>
      </c>
      <c r="AQ52" s="72">
        <f>ROUNDDOWN(63*$G$18/5+508,0)</f>
        <v>508</v>
      </c>
      <c r="AS52" s="34">
        <v>15000</v>
      </c>
      <c r="AT52" s="34">
        <v>20000</v>
      </c>
      <c r="AU52" s="62">
        <f>ROUNDDOWN(28*$G$12/5000+533,0)</f>
        <v>533</v>
      </c>
    </row>
    <row r="53" spans="19:47">
      <c r="S53" s="34">
        <v>25000</v>
      </c>
      <c r="T53" s="34">
        <v>30000</v>
      </c>
      <c r="U53" s="62">
        <f>ROUNDDOWN(13*$E$7/5000+524,0)</f>
        <v>524</v>
      </c>
      <c r="Z53">
        <v>30</v>
      </c>
      <c r="AA53">
        <v>902</v>
      </c>
      <c r="AD53" s="34">
        <v>20000</v>
      </c>
      <c r="AE53" s="34">
        <v>25000</v>
      </c>
      <c r="AF53" s="62">
        <f>ROUNDDOWN(12*$E$8/5000+569,0)</f>
        <v>569</v>
      </c>
      <c r="AG53" s="19"/>
      <c r="AH53" s="70">
        <v>20000</v>
      </c>
      <c r="AI53" s="70">
        <v>25000</v>
      </c>
      <c r="AJ53" s="62">
        <f>ROUNDDOWN(10*$G$9/5000+609,0)</f>
        <v>609</v>
      </c>
      <c r="AK53" s="19"/>
      <c r="AL53" s="19">
        <v>94</v>
      </c>
      <c r="AM53" s="19">
        <v>155</v>
      </c>
      <c r="AO53" s="34">
        <v>20</v>
      </c>
      <c r="AP53" s="34">
        <v>30</v>
      </c>
      <c r="AQ53" s="72">
        <f>ROUNDDOWN(62*$G$18/10+636,0)</f>
        <v>636</v>
      </c>
      <c r="AS53" s="34">
        <v>20000</v>
      </c>
      <c r="AT53" s="34">
        <v>25000</v>
      </c>
      <c r="AU53" s="62">
        <f>ROUNDDOWN(23*$G$12/5000+553,0)</f>
        <v>553</v>
      </c>
    </row>
    <row r="54" spans="19:47">
      <c r="S54" s="34">
        <v>30000</v>
      </c>
      <c r="T54" s="34">
        <v>40000</v>
      </c>
      <c r="U54" s="62">
        <f>ROUNDDOWN(24*$E$7/10000+530,0)</f>
        <v>530</v>
      </c>
      <c r="Z54">
        <v>40</v>
      </c>
      <c r="AA54">
        <v>965</v>
      </c>
      <c r="AD54" s="34">
        <v>25000</v>
      </c>
      <c r="AE54" s="34">
        <v>30000</v>
      </c>
      <c r="AF54" s="62">
        <f>ROUNDDOWN(10*$E$8/5000+579,0)</f>
        <v>579</v>
      </c>
      <c r="AG54" s="19"/>
      <c r="AH54" s="70">
        <v>25000</v>
      </c>
      <c r="AI54" s="70">
        <v>30000</v>
      </c>
      <c r="AJ54" s="62">
        <f>ROUNDDOWN(8*$G$9/5000+619,0)</f>
        <v>619</v>
      </c>
      <c r="AK54" s="19"/>
      <c r="AL54" s="19">
        <v>95</v>
      </c>
      <c r="AM54" s="19">
        <v>164</v>
      </c>
      <c r="AO54" s="34">
        <v>30</v>
      </c>
      <c r="AP54" s="34">
        <v>40</v>
      </c>
      <c r="AQ54" s="72">
        <f>ROUNDDOWN(63*$G$18/10+633,0)</f>
        <v>633</v>
      </c>
      <c r="AS54" s="34">
        <v>25000</v>
      </c>
      <c r="AT54" s="34">
        <v>30000</v>
      </c>
      <c r="AU54" s="62">
        <f>ROUNDDOWN(19*$G$12/5000+573,0)</f>
        <v>573</v>
      </c>
    </row>
    <row r="55" spans="19:47">
      <c r="S55" s="34">
        <v>40000</v>
      </c>
      <c r="T55" s="34">
        <v>50000</v>
      </c>
      <c r="U55" s="62">
        <f>ROUNDDOWN(19*$E$7/10000+550,0)</f>
        <v>550</v>
      </c>
      <c r="Z55">
        <v>50</v>
      </c>
      <c r="AA55">
        <v>1028</v>
      </c>
      <c r="AD55" s="34">
        <v>30000</v>
      </c>
      <c r="AE55" s="34">
        <v>40000</v>
      </c>
      <c r="AF55" s="62">
        <f>ROUNDDOWN(16*$E$8/10000+591,0)</f>
        <v>591</v>
      </c>
      <c r="AG55" s="19"/>
      <c r="AH55" s="70">
        <v>30000</v>
      </c>
      <c r="AI55" s="70">
        <v>40000</v>
      </c>
      <c r="AJ55" s="62">
        <f>ROUNDDOWN(15*$G$9/10000+622,0)</f>
        <v>622</v>
      </c>
      <c r="AK55" s="19"/>
      <c r="AL55" s="19">
        <v>96</v>
      </c>
      <c r="AM55" s="19">
        <v>174</v>
      </c>
      <c r="AO55" s="34">
        <v>40</v>
      </c>
      <c r="AP55" s="34">
        <v>50</v>
      </c>
      <c r="AQ55" s="72">
        <f>ROUNDDOWN(63*$G$18/10+633,0)</f>
        <v>633</v>
      </c>
      <c r="AS55" s="34">
        <v>30000</v>
      </c>
      <c r="AT55" s="34">
        <v>40000</v>
      </c>
      <c r="AU55" s="62">
        <f>ROUNDDOWN(31*$G$12/10000+594,0)</f>
        <v>594</v>
      </c>
    </row>
    <row r="56" spans="19:47">
      <c r="S56" s="34">
        <v>50000</v>
      </c>
      <c r="T56" s="34">
        <v>60000</v>
      </c>
      <c r="U56" s="62">
        <f>ROUNDDOWN(16*$E$7/10000+565,0)</f>
        <v>565</v>
      </c>
      <c r="Z56">
        <v>65</v>
      </c>
      <c r="AA56">
        <v>1090</v>
      </c>
      <c r="AD56" s="34">
        <v>40000</v>
      </c>
      <c r="AE56" s="34">
        <v>50000</v>
      </c>
      <c r="AF56" s="62">
        <f>ROUNDDOWN(14*$E$8/10000+599,0)</f>
        <v>599</v>
      </c>
      <c r="AG56" s="19"/>
      <c r="AH56" s="70">
        <v>40000</v>
      </c>
      <c r="AI56" s="70">
        <v>50000</v>
      </c>
      <c r="AJ56" s="62">
        <f>ROUNDDOWN(12*$G$9/10000+634,0)</f>
        <v>634</v>
      </c>
      <c r="AK56" s="19"/>
      <c r="AL56" s="19">
        <v>97</v>
      </c>
      <c r="AM56" s="19">
        <v>183</v>
      </c>
      <c r="AO56" s="34">
        <v>50</v>
      </c>
      <c r="AP56" s="34">
        <v>65</v>
      </c>
      <c r="AQ56" s="72">
        <f>ROUNDDOWN(62*$G$18/15+742,0)</f>
        <v>742</v>
      </c>
      <c r="AS56" s="34">
        <v>40000</v>
      </c>
      <c r="AT56" s="34">
        <v>50000</v>
      </c>
      <c r="AU56" s="62">
        <f>ROUNDDOWN(27*$G$12/10000+610,0)</f>
        <v>610</v>
      </c>
    </row>
    <row r="57" spans="19:47">
      <c r="S57" s="34">
        <v>60000</v>
      </c>
      <c r="T57" s="34">
        <v>80000</v>
      </c>
      <c r="U57" s="62">
        <f>ROUNDDOWN(28*$E$7/20000+577,0)</f>
        <v>577</v>
      </c>
      <c r="Z57">
        <v>85</v>
      </c>
      <c r="AA57">
        <v>1152</v>
      </c>
      <c r="AD57" s="34">
        <v>50000</v>
      </c>
      <c r="AE57" s="34">
        <v>60000</v>
      </c>
      <c r="AF57" s="62">
        <f>ROUNDDOWN(11*$E$8/10000+614,0)</f>
        <v>614</v>
      </c>
      <c r="AG57" s="19"/>
      <c r="AH57" s="70">
        <v>50000</v>
      </c>
      <c r="AI57" s="70">
        <v>60000</v>
      </c>
      <c r="AJ57" s="62">
        <f>ROUNDDOWN(12*$G$9/10000+634,0)</f>
        <v>634</v>
      </c>
      <c r="AK57" s="19"/>
      <c r="AL57" s="19">
        <v>98</v>
      </c>
      <c r="AM57" s="19">
        <v>192</v>
      </c>
      <c r="AO57" s="34">
        <v>65</v>
      </c>
      <c r="AP57" s="34">
        <v>85</v>
      </c>
      <c r="AQ57" s="72">
        <f>ROUNDDOWN(62*$G$18/20+810,0)</f>
        <v>810</v>
      </c>
      <c r="AS57" s="34">
        <v>50000</v>
      </c>
      <c r="AT57" s="34">
        <v>60000</v>
      </c>
      <c r="AU57" s="62">
        <f>ROUNDDOWN(22*$G$12/10000+635,0)</f>
        <v>635</v>
      </c>
    </row>
    <row r="58" spans="19:47">
      <c r="S58" s="34">
        <v>80000</v>
      </c>
      <c r="T58" s="34">
        <v>100000</v>
      </c>
      <c r="U58" s="62">
        <f>ROUNDDOWN(22*$E$7/20000+601,0)</f>
        <v>601</v>
      </c>
      <c r="Z58">
        <v>110</v>
      </c>
      <c r="AA58">
        <v>1215</v>
      </c>
      <c r="AD58" s="34">
        <v>60000</v>
      </c>
      <c r="AE58" s="34">
        <v>80000</v>
      </c>
      <c r="AF58" s="62">
        <f>ROUNDDOWN(19*$E$8/20000+623,0)</f>
        <v>623</v>
      </c>
      <c r="AG58" s="19"/>
      <c r="AH58" s="70">
        <v>60000</v>
      </c>
      <c r="AI58" s="70">
        <v>80000</v>
      </c>
      <c r="AJ58" s="62">
        <f>ROUNDDOWN(19*$G$9/20000+649,0)</f>
        <v>649</v>
      </c>
      <c r="AK58" s="19"/>
      <c r="AL58" s="19">
        <v>99</v>
      </c>
      <c r="AM58" s="19">
        <v>202</v>
      </c>
      <c r="AO58" s="34">
        <v>85</v>
      </c>
      <c r="AP58" s="34">
        <v>110</v>
      </c>
      <c r="AQ58" s="72">
        <f>ROUNDDOWN(63*$G$18/25+860,0)</f>
        <v>860</v>
      </c>
      <c r="AS58" s="34">
        <v>60000</v>
      </c>
      <c r="AT58" s="34">
        <v>80000</v>
      </c>
      <c r="AU58" s="62">
        <f>ROUNDDOWN(36*$G$12/20000+659,0)</f>
        <v>659</v>
      </c>
    </row>
    <row r="59" spans="19:47">
      <c r="S59" s="34">
        <v>100000</v>
      </c>
      <c r="T59" s="34">
        <v>120000</v>
      </c>
      <c r="U59" s="62">
        <f>ROUNDDOWN(19*$E$7/20000+616,0)</f>
        <v>616</v>
      </c>
      <c r="Z59">
        <v>140</v>
      </c>
      <c r="AA59">
        <v>1278</v>
      </c>
      <c r="AD59" s="34">
        <v>80000</v>
      </c>
      <c r="AE59" s="34">
        <v>100000</v>
      </c>
      <c r="AF59" s="62">
        <f>ROUNDDOWN(16*$E$8/20000+635,0)</f>
        <v>635</v>
      </c>
      <c r="AG59" s="19"/>
      <c r="AH59" s="70">
        <v>80000</v>
      </c>
      <c r="AI59" s="70">
        <v>100000</v>
      </c>
      <c r="AJ59" s="62">
        <f>ROUNDDOWN(16*$G$9/20000+661,0)</f>
        <v>661</v>
      </c>
      <c r="AK59" s="19"/>
      <c r="AL59" s="19">
        <v>100</v>
      </c>
      <c r="AM59" s="19">
        <v>211</v>
      </c>
      <c r="AO59" s="34">
        <v>110</v>
      </c>
      <c r="AP59" s="34">
        <v>140</v>
      </c>
      <c r="AQ59" s="72">
        <f>ROUNDDOWN(63*$G$18/30+907,0)</f>
        <v>907</v>
      </c>
      <c r="AS59" s="34">
        <v>80000</v>
      </c>
      <c r="AT59" s="34">
        <v>100000</v>
      </c>
      <c r="AU59" s="62">
        <f>ROUNDDOWN(29*$G$12/20000+687,0)</f>
        <v>687</v>
      </c>
    </row>
    <row r="60" spans="19:47">
      <c r="S60" s="34">
        <v>120000</v>
      </c>
      <c r="T60" s="34">
        <v>150000</v>
      </c>
      <c r="U60" s="62">
        <f>ROUNDDOWN(26*$E$7/30000+626,0)</f>
        <v>626</v>
      </c>
      <c r="Z60">
        <v>180</v>
      </c>
      <c r="AA60">
        <v>1340</v>
      </c>
      <c r="AD60" s="34">
        <v>100000</v>
      </c>
      <c r="AE60" s="34">
        <v>120000</v>
      </c>
      <c r="AF60" s="62">
        <f>ROUNDDOWN(13*$E$8/20000+650,0)</f>
        <v>650</v>
      </c>
      <c r="AG60" s="19"/>
      <c r="AH60" s="70">
        <v>100000</v>
      </c>
      <c r="AI60" s="70">
        <v>120000</v>
      </c>
      <c r="AJ60" s="62">
        <f>ROUNDDOWN(15*$G$9/20000+666,0)</f>
        <v>666</v>
      </c>
      <c r="AK60" s="19"/>
      <c r="AL60" s="19">
        <v>101</v>
      </c>
      <c r="AM60" s="19">
        <v>220</v>
      </c>
      <c r="AO60" s="34">
        <v>140</v>
      </c>
      <c r="AP60" s="34">
        <v>180</v>
      </c>
      <c r="AQ60" s="72">
        <f>ROUNDDOWN(62*$G$18/40+984,0)</f>
        <v>984</v>
      </c>
      <c r="AS60" s="34">
        <v>100000</v>
      </c>
      <c r="AT60" s="34">
        <v>120000</v>
      </c>
      <c r="AU60" s="62">
        <f>ROUNDDOWN(26*$G$12/20000+702,0)</f>
        <v>702</v>
      </c>
    </row>
    <row r="61" spans="19:47">
      <c r="S61" s="34">
        <v>150000</v>
      </c>
      <c r="T61" s="34">
        <v>200000</v>
      </c>
      <c r="U61" s="62">
        <f>ROUNDDOWN(34*$E$7/50000+654,0)</f>
        <v>654</v>
      </c>
      <c r="Z61">
        <v>230</v>
      </c>
      <c r="AA61">
        <v>1402</v>
      </c>
      <c r="AD61" s="34">
        <v>120000</v>
      </c>
      <c r="AE61" s="34">
        <v>150000</v>
      </c>
      <c r="AF61" s="62">
        <f>ROUNDDOWN(16*$E$8/30000+664,0)</f>
        <v>664</v>
      </c>
      <c r="AG61" s="19"/>
      <c r="AH61" s="70">
        <v>120000</v>
      </c>
      <c r="AI61" s="70">
        <v>150000</v>
      </c>
      <c r="AJ61" s="62">
        <f>ROUNDDOWN(20*$G$9/30000+676,0)</f>
        <v>676</v>
      </c>
      <c r="AK61" s="19"/>
      <c r="AL61" s="19">
        <v>102</v>
      </c>
      <c r="AM61" s="19">
        <v>229</v>
      </c>
      <c r="AO61" s="34">
        <v>180</v>
      </c>
      <c r="AP61" s="34">
        <v>230</v>
      </c>
      <c r="AQ61" s="72">
        <f>ROUNDDOWN(62*$G$18/50+1040,0)</f>
        <v>1040</v>
      </c>
      <c r="AS61" s="34">
        <v>120000</v>
      </c>
      <c r="AT61" s="34">
        <v>150000</v>
      </c>
      <c r="AU61" s="62">
        <f>ROUNDDOWN(32*$G$12/30000+730,0)</f>
        <v>730</v>
      </c>
    </row>
    <row r="62" spans="19:47">
      <c r="S62" s="34">
        <v>200000</v>
      </c>
      <c r="T62" s="34">
        <v>250000</v>
      </c>
      <c r="U62" s="62">
        <f>ROUNDDOWN(28*$E$7/50000+678,0)</f>
        <v>678</v>
      </c>
      <c r="Z62">
        <v>300</v>
      </c>
      <c r="AA62">
        <v>1465</v>
      </c>
      <c r="AD62" s="34">
        <v>150000</v>
      </c>
      <c r="AE62" s="34">
        <v>200000</v>
      </c>
      <c r="AF62" s="62">
        <f>ROUNDDOWN(23*$E$8/50000+675,0)</f>
        <v>675</v>
      </c>
      <c r="AG62" s="19"/>
      <c r="AH62" s="70">
        <v>150000</v>
      </c>
      <c r="AI62" s="70">
        <v>200000</v>
      </c>
      <c r="AJ62" s="62">
        <f>ROUNDDOWN(27*$G$9/50000+695,0)</f>
        <v>695</v>
      </c>
      <c r="AK62" s="19"/>
      <c r="AL62" s="19">
        <v>103</v>
      </c>
      <c r="AM62" s="19">
        <v>239</v>
      </c>
      <c r="AO62" s="34">
        <v>230</v>
      </c>
      <c r="AP62" s="34">
        <v>300</v>
      </c>
      <c r="AQ62" s="72">
        <f>ROUNDDOWN(63*$G$18/70+1119,0)</f>
        <v>1119</v>
      </c>
      <c r="AS62" s="34">
        <v>150000</v>
      </c>
      <c r="AT62" s="34">
        <v>200000</v>
      </c>
      <c r="AU62" s="62">
        <f>ROUNDDOWN(45*$G$12/50000+755,0)</f>
        <v>755</v>
      </c>
    </row>
    <row r="63" spans="19:47">
      <c r="S63" s="34">
        <v>250000</v>
      </c>
      <c r="T63" s="34">
        <v>300000</v>
      </c>
      <c r="U63" s="62">
        <f>ROUNDDOWN(24*$E$7/50000+698,0)</f>
        <v>698</v>
      </c>
      <c r="Z63">
        <v>390</v>
      </c>
      <c r="AA63">
        <v>1527</v>
      </c>
      <c r="AD63" s="34">
        <v>200000</v>
      </c>
      <c r="AE63" s="34">
        <v>250000</v>
      </c>
      <c r="AF63" s="62">
        <f>ROUNDDOWN(19*$E$8/50000+691,0)</f>
        <v>691</v>
      </c>
      <c r="AG63" s="19"/>
      <c r="AH63" s="70">
        <v>200000</v>
      </c>
      <c r="AI63" s="70">
        <v>250000</v>
      </c>
      <c r="AJ63" s="62">
        <f>ROUNDDOWN(24*$G$9/50000+707,0)</f>
        <v>707</v>
      </c>
      <c r="AK63" s="19"/>
      <c r="AL63" s="19">
        <v>104</v>
      </c>
      <c r="AM63" s="19">
        <v>248</v>
      </c>
      <c r="AO63" s="34">
        <v>300</v>
      </c>
      <c r="AP63" s="34">
        <v>390</v>
      </c>
      <c r="AQ63" s="72">
        <f>ROUNDDOWN(62*$G$18/90+1183,0)</f>
        <v>1183</v>
      </c>
      <c r="AS63" s="34">
        <v>200000</v>
      </c>
      <c r="AT63" s="34">
        <v>250000</v>
      </c>
      <c r="AU63" s="62">
        <f>ROUNDDOWN(35*$G$12/50000+795,0)</f>
        <v>795</v>
      </c>
    </row>
    <row r="64" spans="19:47">
      <c r="S64" s="34">
        <v>300000</v>
      </c>
      <c r="T64" s="34">
        <v>400000</v>
      </c>
      <c r="U64" s="62">
        <f>ROUNDDOWN(42*$E$7/100000+716,0)</f>
        <v>716</v>
      </c>
      <c r="Z64">
        <v>510</v>
      </c>
      <c r="AA64">
        <v>1590</v>
      </c>
      <c r="AD64" s="34">
        <v>250000</v>
      </c>
      <c r="AE64" s="34">
        <v>300000</v>
      </c>
      <c r="AF64" s="62">
        <f>ROUNDDOWN(15*$E$8/50000+711,0)</f>
        <v>711</v>
      </c>
      <c r="AG64" s="19"/>
      <c r="AH64" s="70">
        <v>250000</v>
      </c>
      <c r="AI64" s="70">
        <v>300000</v>
      </c>
      <c r="AJ64" s="62">
        <f>ROUNDDOWN(21*$G$9/50000+722,0)</f>
        <v>722</v>
      </c>
      <c r="AK64" s="19"/>
      <c r="AL64" s="19">
        <v>105</v>
      </c>
      <c r="AM64" s="19">
        <v>257</v>
      </c>
      <c r="AO64" s="34">
        <v>390</v>
      </c>
      <c r="AP64" s="34">
        <v>510</v>
      </c>
      <c r="AQ64" s="72">
        <f>ROUNDDOWN(63*$G$18/120+1247,0)</f>
        <v>1247</v>
      </c>
      <c r="AS64" s="34">
        <v>250000</v>
      </c>
      <c r="AT64" s="34">
        <v>300000</v>
      </c>
      <c r="AU64" s="62">
        <f>ROUNDDOWN(30*$G$12/50000+820,0)</f>
        <v>820</v>
      </c>
    </row>
    <row r="65" spans="19:47">
      <c r="S65" s="34">
        <v>400000</v>
      </c>
      <c r="T65" s="34">
        <v>500000</v>
      </c>
      <c r="U65" s="62">
        <f>ROUNDDOWN(34*$E$7/100000+748,0)</f>
        <v>748</v>
      </c>
      <c r="Z65">
        <v>670</v>
      </c>
      <c r="AA65">
        <v>1652</v>
      </c>
      <c r="AD65" s="34">
        <v>300000</v>
      </c>
      <c r="AE65" s="34">
        <v>400000</v>
      </c>
      <c r="AF65" s="62">
        <f>ROUNDDOWN(27*$E$8/100000+720,0)</f>
        <v>720</v>
      </c>
      <c r="AG65" s="19"/>
      <c r="AH65" s="70">
        <v>300000</v>
      </c>
      <c r="AI65" s="70">
        <v>400000</v>
      </c>
      <c r="AJ65" s="62">
        <f>ROUNDDOWN(37*$G$9/100000+737,0)</f>
        <v>737</v>
      </c>
      <c r="AK65" s="19"/>
      <c r="AL65" s="19">
        <v>106</v>
      </c>
      <c r="AM65" s="19">
        <v>267</v>
      </c>
      <c r="AO65" s="34">
        <v>510</v>
      </c>
      <c r="AP65" s="34">
        <v>670</v>
      </c>
      <c r="AQ65" s="72">
        <f>ROUNDDOWN(62*$G$18/160+1318,0)</f>
        <v>1318</v>
      </c>
      <c r="AS65" s="34">
        <v>300000</v>
      </c>
      <c r="AT65" s="34">
        <v>400000</v>
      </c>
      <c r="AU65" s="62">
        <f>ROUNDDOWN(51*$G$12/100000+847,0)</f>
        <v>847</v>
      </c>
    </row>
    <row r="66" spans="19:47">
      <c r="S66" s="34">
        <v>500000</v>
      </c>
      <c r="T66" s="34">
        <v>600000</v>
      </c>
      <c r="U66" s="62">
        <f>ROUNDDOWN(25*$E$7/100000+793,0)</f>
        <v>793</v>
      </c>
      <c r="Z66">
        <v>870</v>
      </c>
      <c r="AA66">
        <v>1715</v>
      </c>
      <c r="AD66" s="34">
        <v>400000</v>
      </c>
      <c r="AE66" s="34">
        <v>500000</v>
      </c>
      <c r="AF66" s="62">
        <f>ROUNDDOWN(21*$E$8/100000+744,0)</f>
        <v>744</v>
      </c>
      <c r="AG66" s="19"/>
      <c r="AH66" s="70">
        <v>400000</v>
      </c>
      <c r="AI66" s="70">
        <v>500000</v>
      </c>
      <c r="AJ66" s="62">
        <f>ROUNDDOWN(32*$G$9/100000+757,0)</f>
        <v>757</v>
      </c>
      <c r="AK66" s="19"/>
      <c r="AL66" s="19">
        <v>107</v>
      </c>
      <c r="AM66" s="19">
        <v>276</v>
      </c>
      <c r="AO66" s="34">
        <v>670</v>
      </c>
      <c r="AP66" s="34">
        <v>870</v>
      </c>
      <c r="AQ66" s="72">
        <f>ROUNDDOWN(63*$G$18/200+1367,0)</f>
        <v>1367</v>
      </c>
      <c r="AS66" s="34">
        <v>400000</v>
      </c>
      <c r="AT66" s="34">
        <v>500000</v>
      </c>
      <c r="AU66" s="62">
        <f>ROUNDDOWN(40*$G$12/100000+891,0)</f>
        <v>891</v>
      </c>
    </row>
    <row r="67" spans="19:47">
      <c r="S67" s="34">
        <v>600000</v>
      </c>
      <c r="T67" s="34">
        <v>800000</v>
      </c>
      <c r="U67" s="62">
        <f>ROUNDDOWN(25*$E$7/200000+868,0)</f>
        <v>868</v>
      </c>
      <c r="Z67">
        <v>1130</v>
      </c>
      <c r="AA67">
        <v>1777</v>
      </c>
      <c r="AD67" s="34">
        <v>500000</v>
      </c>
      <c r="AE67" s="34">
        <v>600000</v>
      </c>
      <c r="AF67" s="62">
        <f>ROUNDDOWN(18*$E$8/100000+759,0)</f>
        <v>759</v>
      </c>
      <c r="AG67" s="19"/>
      <c r="AH67" s="70">
        <v>500000</v>
      </c>
      <c r="AI67" s="70">
        <v>600000</v>
      </c>
      <c r="AJ67" s="62">
        <f>ROUNDDOWN(28*$G$9/100000+777,0)</f>
        <v>777</v>
      </c>
      <c r="AK67" s="19"/>
      <c r="AL67" s="19">
        <v>108</v>
      </c>
      <c r="AM67" s="19">
        <v>285</v>
      </c>
      <c r="AO67" s="34">
        <v>870</v>
      </c>
      <c r="AP67" s="34">
        <v>1130</v>
      </c>
      <c r="AQ67" s="72">
        <f>ROUNDDOWN(62*$G$18/260+1434,0)</f>
        <v>1434</v>
      </c>
      <c r="AS67" s="34">
        <v>500000</v>
      </c>
      <c r="AT67" s="34">
        <v>600000</v>
      </c>
      <c r="AU67" s="62">
        <f>ROUNDDOWN(36*$G$12/100000+911,0)</f>
        <v>911</v>
      </c>
    </row>
    <row r="68" spans="19:47">
      <c r="S68" s="34">
        <v>800000</v>
      </c>
      <c r="T68" s="34">
        <v>1000000</v>
      </c>
      <c r="U68" s="62">
        <f>ROUNDDOWN(38*$E$7/200000+816,0)</f>
        <v>816</v>
      </c>
      <c r="Z68">
        <v>1460</v>
      </c>
      <c r="AA68">
        <v>1840</v>
      </c>
      <c r="AD68" s="34">
        <v>600000</v>
      </c>
      <c r="AE68" s="34">
        <v>800000</v>
      </c>
      <c r="AF68" s="62">
        <f>ROUNDDOWN(30*$E$8/200000+777,0)</f>
        <v>777</v>
      </c>
      <c r="AG68" s="19"/>
      <c r="AH68" s="70">
        <v>600000</v>
      </c>
      <c r="AI68" s="70">
        <v>800000</v>
      </c>
      <c r="AJ68" s="62">
        <f>ROUNDDOWN(48*$G$9/200000+801,0)</f>
        <v>801</v>
      </c>
      <c r="AK68" s="19"/>
      <c r="AL68" s="19">
        <v>109</v>
      </c>
      <c r="AM68" s="19">
        <v>295</v>
      </c>
      <c r="AO68" s="34">
        <v>1130</v>
      </c>
      <c r="AP68" s="34">
        <v>1460</v>
      </c>
      <c r="AQ68" s="72">
        <f>ROUNDDOWN(63*$G$18/330+1488,0)</f>
        <v>1488</v>
      </c>
      <c r="AS68" s="34">
        <v>600000</v>
      </c>
      <c r="AT68" s="34">
        <v>800000</v>
      </c>
      <c r="AU68" s="62">
        <f>ROUNDDOWN(57*$G$12/200000+956,0)</f>
        <v>956</v>
      </c>
    </row>
    <row r="69" spans="19:47">
      <c r="S69" s="34">
        <v>1000000</v>
      </c>
      <c r="T69" s="34">
        <v>1200000</v>
      </c>
      <c r="U69" s="62">
        <f>ROUNDDOWN(39*$E$7/200000+811,0)</f>
        <v>811</v>
      </c>
      <c r="Z69">
        <v>1900</v>
      </c>
      <c r="AA69">
        <v>1903</v>
      </c>
      <c r="AD69" s="34">
        <v>800000</v>
      </c>
      <c r="AE69" s="34">
        <v>1000000</v>
      </c>
      <c r="AF69" s="62">
        <f>ROUNDDOWN(24*$E$8/200000+801,0)</f>
        <v>801</v>
      </c>
      <c r="AG69" s="19"/>
      <c r="AH69" s="70">
        <v>800000</v>
      </c>
      <c r="AI69" s="70">
        <v>1000000</v>
      </c>
      <c r="AJ69" s="62">
        <f>ROUNDDOWN(42*$G$9/200000+825,0)</f>
        <v>825</v>
      </c>
      <c r="AK69" s="19"/>
      <c r="AL69" s="19">
        <v>110</v>
      </c>
      <c r="AM69" s="19">
        <v>304</v>
      </c>
      <c r="AO69" s="34">
        <v>1460</v>
      </c>
      <c r="AP69" s="34">
        <v>1900</v>
      </c>
      <c r="AQ69" s="72">
        <f>ROUNDDOWN(63*$G$18/440+1558,0)</f>
        <v>1558</v>
      </c>
      <c r="AS69" s="34">
        <v>800000</v>
      </c>
      <c r="AT69" s="34">
        <v>1000000</v>
      </c>
      <c r="AU69" s="62">
        <f>ROUNDDOWN(47*$G$12/200000+996,0)</f>
        <v>996</v>
      </c>
    </row>
    <row r="70" spans="19:47">
      <c r="S70" s="34">
        <v>1200000</v>
      </c>
      <c r="T70" s="34">
        <v>1500000</v>
      </c>
      <c r="U70" s="62">
        <f>ROUNDDOWN(38*$E$7/300000+893,0)</f>
        <v>893</v>
      </c>
      <c r="Z70">
        <v>2470</v>
      </c>
      <c r="AA70">
        <v>1965</v>
      </c>
      <c r="AD70" s="34">
        <v>1000000</v>
      </c>
      <c r="AE70" s="34">
        <v>1200000</v>
      </c>
      <c r="AF70" s="62">
        <f>ROUNDDOWN(21*$E$8/200000+816,0)</f>
        <v>816</v>
      </c>
      <c r="AG70" s="19"/>
      <c r="AH70" s="70">
        <v>1000000</v>
      </c>
      <c r="AI70" s="70">
        <v>1200000</v>
      </c>
      <c r="AJ70" s="62">
        <f>ROUNDDOWN(37*$G$9/200000+850,0)</f>
        <v>850</v>
      </c>
      <c r="AK70" s="19"/>
      <c r="AL70" s="19">
        <v>111</v>
      </c>
      <c r="AM70" s="19">
        <v>313</v>
      </c>
      <c r="AO70" s="34">
        <v>1900</v>
      </c>
      <c r="AP70" s="34">
        <v>2470</v>
      </c>
      <c r="AQ70" s="72">
        <f>ROUNDDOWN(62*$G$18/570+1624,0)</f>
        <v>1624</v>
      </c>
      <c r="AS70" s="34">
        <v>1000000</v>
      </c>
      <c r="AT70" s="34">
        <v>1200000</v>
      </c>
      <c r="AU70" s="62">
        <f>ROUNDDOWN(41*$G$12/200000+1026,0)</f>
        <v>1026</v>
      </c>
    </row>
    <row r="71" spans="19:47">
      <c r="S71" s="34">
        <v>1500000</v>
      </c>
      <c r="T71" s="34">
        <v>2000000</v>
      </c>
      <c r="U71" s="62">
        <f>ROUNDDOWN(36*$E$7/500000+975,0)</f>
        <v>975</v>
      </c>
      <c r="Z71">
        <v>3210</v>
      </c>
      <c r="AA71">
        <v>2027</v>
      </c>
      <c r="AD71" s="34">
        <v>1200000</v>
      </c>
      <c r="AE71" s="34">
        <v>1500000</v>
      </c>
      <c r="AF71" s="62">
        <f>ROUNDDOWN(27*$E$8/300000+834,0)</f>
        <v>834</v>
      </c>
      <c r="AG71" s="19"/>
      <c r="AH71" s="70">
        <v>1200000</v>
      </c>
      <c r="AI71" s="70">
        <v>1500000</v>
      </c>
      <c r="AJ71" s="62">
        <f>ROUNDDOWN(48*$G$9/300000+880,0)</f>
        <v>880</v>
      </c>
      <c r="AK71" s="19"/>
      <c r="AL71" s="19">
        <v>112</v>
      </c>
      <c r="AM71" s="19">
        <v>322</v>
      </c>
      <c r="AO71" s="34">
        <v>2470</v>
      </c>
      <c r="AP71" s="34">
        <v>3210</v>
      </c>
      <c r="AQ71" s="72">
        <f>ROUNDDOWN(62*$G$18/740+1686,0)</f>
        <v>1686</v>
      </c>
      <c r="AS71" s="34">
        <v>1200000</v>
      </c>
      <c r="AT71" s="34">
        <v>1500000</v>
      </c>
      <c r="AU71" s="62">
        <f>ROUNDDOWN(50*$G$12/300000+1072,0)</f>
        <v>1072</v>
      </c>
    </row>
    <row r="72" spans="19:47">
      <c r="S72" s="34">
        <v>2000000</v>
      </c>
      <c r="T72" s="34">
        <v>2500000</v>
      </c>
      <c r="U72" s="62">
        <f>ROUNDDOWN(39*$E$7/500000+963,0)</f>
        <v>963</v>
      </c>
      <c r="Z72">
        <v>4180</v>
      </c>
      <c r="AA72">
        <v>2090</v>
      </c>
      <c r="AD72" s="34">
        <v>1500000</v>
      </c>
      <c r="AE72" s="34">
        <v>2000000</v>
      </c>
      <c r="AF72" s="62">
        <f>ROUNDDOWN(36*$E$8/500000+861,0)</f>
        <v>861</v>
      </c>
      <c r="AG72" s="19"/>
      <c r="AH72" s="70">
        <v>1500000</v>
      </c>
      <c r="AI72" s="70">
        <v>2000000</v>
      </c>
      <c r="AJ72" s="62">
        <f>ROUNDDOWN(70*$G$9/500000+910,0)</f>
        <v>910</v>
      </c>
      <c r="AK72" s="19"/>
      <c r="AL72" s="19">
        <v>113</v>
      </c>
      <c r="AM72" s="19">
        <v>332</v>
      </c>
      <c r="AO72" s="34">
        <v>3210</v>
      </c>
      <c r="AP72" s="34">
        <v>4180</v>
      </c>
      <c r="AQ72" s="72">
        <f>ROUNDDOWN(63*$G$18/970+1747,0)</f>
        <v>1747</v>
      </c>
      <c r="AS72" s="34">
        <v>1500000</v>
      </c>
      <c r="AT72" s="34">
        <v>2000000</v>
      </c>
      <c r="AU72" s="62">
        <f>ROUNDDOWN(70*$G$12/500000+1112,0)</f>
        <v>1112</v>
      </c>
    </row>
    <row r="73" spans="19:47">
      <c r="S73" s="34">
        <v>2500000</v>
      </c>
      <c r="T73" s="34">
        <v>3000000</v>
      </c>
      <c r="U73" s="62">
        <f>ROUNDDOWN(51*$E$7/500000+903,0)</f>
        <v>903</v>
      </c>
      <c r="Z73">
        <v>5430</v>
      </c>
      <c r="AA73">
        <v>2153</v>
      </c>
      <c r="AD73" s="34">
        <v>2000000</v>
      </c>
      <c r="AE73" s="34">
        <v>2500000</v>
      </c>
      <c r="AF73" s="62">
        <f>ROUNDDOWN(29*$E$8/500000+889,0)</f>
        <v>889</v>
      </c>
      <c r="AG73" s="19"/>
      <c r="AH73" s="70">
        <v>2000000</v>
      </c>
      <c r="AI73" s="70">
        <v>2500000</v>
      </c>
      <c r="AJ73" s="62">
        <f>ROUNDDOWN(60*$G$9/500000+950,0)</f>
        <v>950</v>
      </c>
      <c r="AK73" s="19"/>
      <c r="AL73" s="19">
        <v>114</v>
      </c>
      <c r="AM73" s="19">
        <v>341</v>
      </c>
      <c r="AO73" s="34">
        <v>4180</v>
      </c>
      <c r="AP73" s="34">
        <v>5430</v>
      </c>
      <c r="AQ73" s="72">
        <f>ROUNDDOWN(63*$G$18/1250+1808,0)</f>
        <v>1808</v>
      </c>
      <c r="AS73" s="34">
        <v>2000000</v>
      </c>
      <c r="AT73" s="34">
        <v>2500000</v>
      </c>
      <c r="AU73" s="62">
        <f>ROUNDDOWN(57*$G$12/500000+1164,0)</f>
        <v>1164</v>
      </c>
    </row>
    <row r="74" spans="19:47">
      <c r="S74" s="34">
        <v>3000000</v>
      </c>
      <c r="T74" s="34">
        <v>4000000</v>
      </c>
      <c r="U74" s="62">
        <f>ROUNDDOWN(50*$E$7/1000000+1059,0)</f>
        <v>1059</v>
      </c>
      <c r="Z74">
        <v>7060</v>
      </c>
      <c r="AA74">
        <v>2215</v>
      </c>
      <c r="AD74" s="34">
        <v>2500000</v>
      </c>
      <c r="AE74" s="34">
        <v>3000000</v>
      </c>
      <c r="AF74" s="62">
        <f>ROUNDDOWN(25*$E$8/500000+909,0)</f>
        <v>909</v>
      </c>
      <c r="AG74" s="19"/>
      <c r="AH74" s="70">
        <v>2500000</v>
      </c>
      <c r="AI74" s="70">
        <v>3000000</v>
      </c>
      <c r="AJ74" s="62">
        <f>ROUNDDOWN(54*$G$9/500000+980,0)</f>
        <v>980</v>
      </c>
      <c r="AK74" s="19"/>
      <c r="AL74" s="19">
        <v>115</v>
      </c>
      <c r="AM74" s="19">
        <v>350</v>
      </c>
      <c r="AO74" s="34">
        <v>5430</v>
      </c>
      <c r="AP74" s="34">
        <v>7060</v>
      </c>
      <c r="AQ74" s="72">
        <f>ROUNDDOWN(62*$G$18/1630+1876,0)</f>
        <v>1876</v>
      </c>
      <c r="AS74" s="34">
        <v>2500000</v>
      </c>
      <c r="AT74" s="34">
        <v>3000000</v>
      </c>
      <c r="AU74" s="62">
        <f>ROUNDDOWN(48*$G$12/500000+1209,0)</f>
        <v>1209</v>
      </c>
    </row>
    <row r="75" spans="19:47">
      <c r="S75" s="34">
        <v>4000000</v>
      </c>
      <c r="T75" s="34">
        <v>5000000</v>
      </c>
      <c r="U75" s="62">
        <f>ROUNDDOWN(51*$E$7/1000000+1055,0)</f>
        <v>1055</v>
      </c>
      <c r="Z75">
        <v>9180</v>
      </c>
      <c r="AA75">
        <v>2277</v>
      </c>
      <c r="AD75" s="34">
        <v>3000000</v>
      </c>
      <c r="AE75" s="34">
        <v>4000000</v>
      </c>
      <c r="AF75" s="62">
        <f>ROUNDDOWN(41*$E$8/1000000+936,0)</f>
        <v>936</v>
      </c>
      <c r="AG75" s="19"/>
      <c r="AH75" s="70">
        <v>3000000</v>
      </c>
      <c r="AI75" s="70">
        <v>4000000</v>
      </c>
      <c r="AJ75" s="62">
        <f>ROUNDDOWN(92*$G$9/1000000+1028,0)</f>
        <v>1028</v>
      </c>
      <c r="AK75" s="19"/>
      <c r="AL75" s="19">
        <v>116</v>
      </c>
      <c r="AM75" s="19">
        <v>360</v>
      </c>
      <c r="AO75" s="34">
        <v>7060</v>
      </c>
      <c r="AP75" s="34">
        <v>9180</v>
      </c>
      <c r="AQ75" s="72">
        <f>ROUNDDOWN(62*$G$18/2120+1939,0)</f>
        <v>1939</v>
      </c>
      <c r="AS75" s="34">
        <v>3000000</v>
      </c>
      <c r="AT75" s="34">
        <v>4000000</v>
      </c>
      <c r="AU75" s="62">
        <f>ROUNDDOWN(79*$G$12/1000000+1260,0)</f>
        <v>1260</v>
      </c>
    </row>
    <row r="76" spans="19:47">
      <c r="S76" s="34">
        <v>5000000</v>
      </c>
      <c r="T76" s="34">
        <v>6000000</v>
      </c>
      <c r="U76" s="62">
        <f>ROUNDDOWN(51*$E$7/1000000+1055,0)</f>
        <v>1055</v>
      </c>
      <c r="Z76">
        <v>11930</v>
      </c>
      <c r="AA76">
        <v>2340</v>
      </c>
      <c r="AD76" s="34">
        <v>4000000</v>
      </c>
      <c r="AE76" s="34">
        <v>5000000</v>
      </c>
      <c r="AF76" s="62">
        <f>ROUNDDOWN(34*$E$8/1000000+964,0)</f>
        <v>964</v>
      </c>
      <c r="AG76" s="19"/>
      <c r="AH76" s="70">
        <v>4000000</v>
      </c>
      <c r="AI76" s="70">
        <v>5000000</v>
      </c>
      <c r="AJ76" s="62">
        <f>ROUNDDOWN(79*$G$9/1000000+1080,0)</f>
        <v>1080</v>
      </c>
      <c r="AK76" s="19"/>
      <c r="AL76" s="19">
        <v>117</v>
      </c>
      <c r="AM76" s="19">
        <v>369</v>
      </c>
      <c r="AO76" s="34">
        <v>9180</v>
      </c>
      <c r="AP76" s="34">
        <v>11930</v>
      </c>
      <c r="AQ76" s="72">
        <f>ROUNDDOWN(63*$G$18/2750+1998,0)</f>
        <v>1998</v>
      </c>
      <c r="AS76" s="34">
        <v>4000000</v>
      </c>
      <c r="AT76" s="34">
        <v>5000000</v>
      </c>
      <c r="AU76" s="62">
        <f>ROUNDDOWN(66*$G$12/1000000+1312,0)</f>
        <v>1312</v>
      </c>
    </row>
    <row r="77" spans="19:47">
      <c r="S77" s="34">
        <v>6000000</v>
      </c>
      <c r="T77" s="34">
        <v>8000000</v>
      </c>
      <c r="U77" s="62">
        <f>ROUNDDOWN(50*$E$7/2000000+1211,0)</f>
        <v>1211</v>
      </c>
      <c r="Z77">
        <v>15500</v>
      </c>
      <c r="AA77">
        <v>2402</v>
      </c>
      <c r="AD77" s="34">
        <v>5000000</v>
      </c>
      <c r="AE77" s="34">
        <v>6000000</v>
      </c>
      <c r="AF77" s="62">
        <f>ROUNDDOWN(29*$E$8/1000000+989,0)</f>
        <v>989</v>
      </c>
      <c r="AG77" s="19"/>
      <c r="AH77" s="70">
        <v>5000000</v>
      </c>
      <c r="AI77" s="70">
        <v>6000000</v>
      </c>
      <c r="AJ77" s="62">
        <f>ROUNDDOWN(70*$G$9/1000000+1125,0)</f>
        <v>1125</v>
      </c>
      <c r="AK77" s="19"/>
      <c r="AL77" s="19">
        <v>118</v>
      </c>
      <c r="AM77" s="19">
        <v>378</v>
      </c>
      <c r="AO77" s="34">
        <v>11930</v>
      </c>
      <c r="AP77" s="34">
        <v>15500</v>
      </c>
      <c r="AQ77" s="72">
        <f>ROUNDDOWN(62*$G$18/3570+2065,0)</f>
        <v>2065</v>
      </c>
      <c r="AS77" s="34">
        <v>5000000</v>
      </c>
      <c r="AT77" s="34">
        <v>6000000</v>
      </c>
      <c r="AU77" s="62">
        <f>ROUNDDOWN(55*$G$12/1000000+1367,0)</f>
        <v>1367</v>
      </c>
    </row>
    <row r="78" spans="19:47">
      <c r="S78" s="34">
        <v>8000000</v>
      </c>
      <c r="T78" s="34">
        <v>10000000</v>
      </c>
      <c r="U78" s="62">
        <f>ROUNDDOWN(64*$E$7/2000000+1155,0)</f>
        <v>1155</v>
      </c>
      <c r="AD78" s="34">
        <v>6000000</v>
      </c>
      <c r="AE78" s="34">
        <v>8000000</v>
      </c>
      <c r="AF78" s="62">
        <f>ROUNDDOWN(47*$E$8/2000000+1022,0)</f>
        <v>1022</v>
      </c>
      <c r="AG78" s="19"/>
      <c r="AH78" s="70">
        <v>6000000</v>
      </c>
      <c r="AI78" s="70">
        <v>8000000</v>
      </c>
      <c r="AJ78" s="62">
        <f>ROUNDDOWN(122*$G$9/2000000+1179,0)</f>
        <v>1179</v>
      </c>
      <c r="AK78" s="19"/>
      <c r="AL78" s="19">
        <v>119</v>
      </c>
      <c r="AM78" s="19">
        <v>387</v>
      </c>
      <c r="AO78" s="34">
        <v>15500</v>
      </c>
      <c r="AP78" s="34">
        <v>0</v>
      </c>
      <c r="AQ78" s="72">
        <v>2335</v>
      </c>
      <c r="AS78" s="34">
        <v>6000000</v>
      </c>
      <c r="AT78" s="34">
        <v>8000000</v>
      </c>
      <c r="AU78" s="62">
        <f>ROUNDDOWN(92*$G$12/2000000+1421,0)</f>
        <v>1421</v>
      </c>
    </row>
    <row r="79" spans="19:47">
      <c r="S79" s="34">
        <v>10000000</v>
      </c>
      <c r="T79" s="34">
        <v>12000000</v>
      </c>
      <c r="U79" s="62">
        <f>ROUNDDOWN(62*$E$7/2000000+1165,0)</f>
        <v>1165</v>
      </c>
      <c r="AD79" s="34">
        <v>8000000</v>
      </c>
      <c r="AE79" s="34">
        <v>10000000</v>
      </c>
      <c r="AF79" s="62">
        <f>ROUNDDOWN(39*$E$8/2000000+1054,0)</f>
        <v>1054</v>
      </c>
      <c r="AG79" s="19"/>
      <c r="AH79" s="70">
        <v>8000000</v>
      </c>
      <c r="AI79" s="71">
        <v>10000000</v>
      </c>
      <c r="AJ79" s="62">
        <f>ROUNDDOWN(104*$G$9/2000000+1251,0)</f>
        <v>1251</v>
      </c>
      <c r="AK79" s="19"/>
      <c r="AL79" s="19">
        <v>120</v>
      </c>
      <c r="AM79" s="19">
        <v>397</v>
      </c>
      <c r="AS79" s="34">
        <v>8000000</v>
      </c>
      <c r="AT79" s="34">
        <v>10000000</v>
      </c>
      <c r="AU79" s="62">
        <f>ROUNDDOWN(75*$G$12/2000000+1489,0)</f>
        <v>1489</v>
      </c>
    </row>
    <row r="80" spans="19:47">
      <c r="S80" s="34">
        <v>12000000</v>
      </c>
      <c r="T80" s="34">
        <v>15000000</v>
      </c>
      <c r="U80" s="62">
        <f>ROUNDDOWN(64*$E$7/3000000+1281,0)</f>
        <v>1281</v>
      </c>
      <c r="AD80" s="34">
        <v>10000000</v>
      </c>
      <c r="AE80" s="34">
        <v>12000000</v>
      </c>
      <c r="AF80" s="62">
        <f>ROUNDDOWN(33*$E$8/2000000+1084,0)</f>
        <v>1084</v>
      </c>
      <c r="AG80" s="19"/>
      <c r="AH80" s="34">
        <v>10000000</v>
      </c>
      <c r="AI80" s="34">
        <v>12000000</v>
      </c>
      <c r="AJ80" s="62">
        <f>ROUNDDOWN(93*$G$9/2000000+1306,0)</f>
        <v>1306</v>
      </c>
      <c r="AK80" s="19"/>
      <c r="AL80" s="19">
        <v>121</v>
      </c>
      <c r="AM80" s="19">
        <v>406</v>
      </c>
      <c r="AS80" s="34">
        <v>10000000</v>
      </c>
      <c r="AT80" s="34">
        <v>12000000</v>
      </c>
      <c r="AU80" s="62">
        <f>ROUNDDOWN(63*$G$12/2000000+1549,0)</f>
        <v>1549</v>
      </c>
    </row>
    <row r="81" spans="19:47">
      <c r="S81" s="34">
        <v>15000000</v>
      </c>
      <c r="T81" s="34">
        <v>20000000</v>
      </c>
      <c r="U81" s="62">
        <f>ROUNDDOWN(76*$E$7/5000000+1373,0)</f>
        <v>1373</v>
      </c>
      <c r="AD81" s="34">
        <v>12000000</v>
      </c>
      <c r="AE81" s="34">
        <v>15000000</v>
      </c>
      <c r="AF81" s="62">
        <f>ROUNDDOWN(42*$E$8/3000000+1114,0)</f>
        <v>1114</v>
      </c>
      <c r="AG81" s="19"/>
      <c r="AH81" s="70">
        <v>12000000</v>
      </c>
      <c r="AI81" s="70">
        <v>15000000</v>
      </c>
      <c r="AJ81" s="62">
        <f>ROUNDDOWN(123*$G$9/3000000+1372,0)</f>
        <v>1372</v>
      </c>
      <c r="AK81" s="19"/>
      <c r="AL81" s="19">
        <v>122</v>
      </c>
      <c r="AM81" s="19">
        <v>415</v>
      </c>
      <c r="AS81" s="34">
        <v>12000000</v>
      </c>
      <c r="AT81" s="34">
        <v>15000000</v>
      </c>
      <c r="AU81" s="62">
        <f>ROUNDDOWN(81*$G$12/3000000+1603,0)</f>
        <v>1603</v>
      </c>
    </row>
    <row r="82" spans="19:47">
      <c r="S82" s="34">
        <v>20000000</v>
      </c>
      <c r="T82" s="34">
        <v>25000000</v>
      </c>
      <c r="U82" s="62">
        <f>ROUNDDOWN(76*$E$7/5000000+1373,0)</f>
        <v>1373</v>
      </c>
      <c r="AD82" s="34">
        <v>15000000</v>
      </c>
      <c r="AE82" s="34">
        <v>20000000</v>
      </c>
      <c r="AF82" s="62">
        <f>ROUNDDOWN(57*$E$8/5000000+1153,0)</f>
        <v>1153</v>
      </c>
      <c r="AG82" s="19"/>
      <c r="AH82" s="70">
        <v>15000000</v>
      </c>
      <c r="AI82" s="70">
        <v>20000000</v>
      </c>
      <c r="AJ82" s="62">
        <f>ROUNDDOWN(175*$G$9/5000000+1462,0)</f>
        <v>1462</v>
      </c>
      <c r="AK82" s="19"/>
      <c r="AL82" s="19">
        <v>123</v>
      </c>
      <c r="AM82" s="19">
        <v>425</v>
      </c>
      <c r="AS82" s="34">
        <v>15000000</v>
      </c>
      <c r="AT82" s="34">
        <v>20000000</v>
      </c>
      <c r="AU82" s="62">
        <f>ROUNDDOWN(110*$G$12/5000000+1678,0)</f>
        <v>1678</v>
      </c>
    </row>
    <row r="83" spans="19:47">
      <c r="S83" s="34">
        <v>25000000</v>
      </c>
      <c r="T83" s="34">
        <v>30000000</v>
      </c>
      <c r="U83" s="62">
        <f>ROUNDDOWN(75*$E$7/5000000+1378,0)</f>
        <v>1378</v>
      </c>
      <c r="AD83" s="34">
        <v>20000000</v>
      </c>
      <c r="AE83" s="34">
        <v>25000000</v>
      </c>
      <c r="AF83" s="62">
        <f>ROUNDDOWN(47*$E$8/5000000+1193,0)</f>
        <v>1193</v>
      </c>
      <c r="AG83" s="19"/>
      <c r="AH83" s="70">
        <v>20000000</v>
      </c>
      <c r="AI83" s="70">
        <v>25000000</v>
      </c>
      <c r="AJ83" s="62">
        <f>ROUNDDOWN(151*$G$9/5000000+1558,0)</f>
        <v>1558</v>
      </c>
      <c r="AK83" s="19"/>
      <c r="AL83" s="19">
        <v>124</v>
      </c>
      <c r="AM83" s="19">
        <v>434</v>
      </c>
      <c r="AS83" s="34">
        <v>20000000</v>
      </c>
      <c r="AT83" s="34">
        <v>25000000</v>
      </c>
      <c r="AU83" s="62">
        <f>ROUNDDOWN(90*$G$12/5000000+1758,0)</f>
        <v>1758</v>
      </c>
    </row>
    <row r="84" spans="19:47">
      <c r="S84" s="34">
        <v>30000000</v>
      </c>
      <c r="T84" s="34">
        <v>40000000</v>
      </c>
      <c r="U84" s="62">
        <f>ROUNDDOWN(89*$E$7/10000000+1561,0)</f>
        <v>1561</v>
      </c>
      <c r="AD84" s="34">
        <v>25000000</v>
      </c>
      <c r="AE84" s="34">
        <v>30000000</v>
      </c>
      <c r="AF84" s="62">
        <f>ROUNDDOWN(39*$E$8/5000000+1233,0)</f>
        <v>1233</v>
      </c>
      <c r="AG84" s="19"/>
      <c r="AH84" s="70">
        <v>25000000</v>
      </c>
      <c r="AI84" s="70">
        <v>30000000</v>
      </c>
      <c r="AJ84" s="62">
        <f>ROUNDDOWN(134*$G$9/5000000+1643,0)</f>
        <v>1643</v>
      </c>
      <c r="AK84" s="19"/>
      <c r="AL84" s="19">
        <v>125</v>
      </c>
      <c r="AM84" s="19">
        <v>443</v>
      </c>
      <c r="AS84" s="34">
        <v>25000000</v>
      </c>
      <c r="AT84" s="34">
        <v>30000000</v>
      </c>
      <c r="AU84" s="62">
        <f>ROUNDDOWN(76*$G$12/5000000+1828,0)</f>
        <v>1828</v>
      </c>
    </row>
    <row r="85" spans="19:47">
      <c r="S85" s="34">
        <v>40000000</v>
      </c>
      <c r="T85" s="34">
        <v>50000000</v>
      </c>
      <c r="U85" s="62">
        <f>ROUNDDOWN(89*$E$7/10000000+1561,0)</f>
        <v>1561</v>
      </c>
      <c r="AD85" s="34">
        <v>30000000</v>
      </c>
      <c r="AE85" s="34">
        <v>40000000</v>
      </c>
      <c r="AF85" s="62">
        <f>ROUNDDOWN(66*$E$8/10000000+1269,0)</f>
        <v>1269</v>
      </c>
      <c r="AG85" s="19"/>
      <c r="AH85" s="70">
        <v>30000000</v>
      </c>
      <c r="AI85" s="70">
        <v>0</v>
      </c>
      <c r="AJ85" s="62">
        <v>2447</v>
      </c>
      <c r="AK85" s="19"/>
      <c r="AL85" s="19">
        <v>126</v>
      </c>
      <c r="AM85" s="19">
        <v>453</v>
      </c>
      <c r="AS85" s="34">
        <v>30000000</v>
      </c>
      <c r="AT85" s="34">
        <v>40000000</v>
      </c>
      <c r="AU85" s="62">
        <f>ROUNDDOWN(126*$G$12/10000000+1906,0)</f>
        <v>1906</v>
      </c>
    </row>
    <row r="86" spans="19:47">
      <c r="S86" s="34">
        <v>50000000</v>
      </c>
      <c r="T86" s="34">
        <v>60000000</v>
      </c>
      <c r="U86" s="62">
        <f>ROUNDDOWN(88*$E$7/10000000+1566,0)</f>
        <v>1566</v>
      </c>
      <c r="AD86" s="34">
        <v>40000000</v>
      </c>
      <c r="AE86" s="34">
        <v>50000000</v>
      </c>
      <c r="AF86" s="62">
        <f>ROUNDDOWN(53*$E$8/10000000+1321,0)</f>
        <v>1321</v>
      </c>
      <c r="AG86" s="19"/>
      <c r="AH86" s="19"/>
      <c r="AI86" s="19"/>
      <c r="AJ86" s="19"/>
      <c r="AK86" s="19"/>
      <c r="AL86" s="19">
        <v>127</v>
      </c>
      <c r="AM86" s="19">
        <v>462</v>
      </c>
      <c r="AS86" s="34">
        <v>40000000</v>
      </c>
      <c r="AT86" s="34">
        <v>50000000</v>
      </c>
      <c r="AU86" s="62">
        <f>ROUNDDOWN(104*$G$12/10000000+1994,0)</f>
        <v>1994</v>
      </c>
    </row>
    <row r="87" spans="19:47">
      <c r="S87" s="34">
        <v>60000000</v>
      </c>
      <c r="T87" s="34">
        <v>80000000</v>
      </c>
      <c r="U87" s="62">
        <f>ROUNDDOWN(101*$E$7/20000000+1791,0)</f>
        <v>1791</v>
      </c>
      <c r="AD87" s="34">
        <v>50000000</v>
      </c>
      <c r="AE87" s="34">
        <v>60000000</v>
      </c>
      <c r="AF87" s="62">
        <f>ROUNDDOWN(46*$E$8/10000000+1356,0)</f>
        <v>1356</v>
      </c>
      <c r="AG87" s="19"/>
      <c r="AH87" s="19"/>
      <c r="AI87" s="19"/>
      <c r="AJ87" s="19"/>
      <c r="AK87" s="19"/>
      <c r="AL87" s="19">
        <v>128</v>
      </c>
      <c r="AM87" s="19">
        <v>471</v>
      </c>
      <c r="AS87" s="34">
        <v>50000000</v>
      </c>
      <c r="AT87" s="34">
        <v>60000000</v>
      </c>
      <c r="AU87" s="62">
        <f>ROUNDDOWN(87*$G$12/10000000+2079,0)</f>
        <v>2079</v>
      </c>
    </row>
    <row r="88" spans="19:47">
      <c r="S88" s="34">
        <v>80000000</v>
      </c>
      <c r="T88" s="34">
        <v>100000000</v>
      </c>
      <c r="U88" s="62">
        <f>ROUNDDOWN(114*$E$7/20000000+1739,0)</f>
        <v>1739</v>
      </c>
      <c r="AD88" s="34">
        <v>60000000</v>
      </c>
      <c r="AE88" s="34">
        <v>80000000</v>
      </c>
      <c r="AF88" s="62">
        <f>ROUNDDOWN(75*$E$8/20000000+1407,0)</f>
        <v>1407</v>
      </c>
      <c r="AG88" s="19"/>
      <c r="AH88" s="19"/>
      <c r="AI88" s="19"/>
      <c r="AJ88" s="19"/>
      <c r="AK88" s="19"/>
      <c r="AL88" s="19">
        <v>129</v>
      </c>
      <c r="AM88" s="19">
        <v>480</v>
      </c>
      <c r="AS88" s="34">
        <v>60000000</v>
      </c>
      <c r="AT88" s="34">
        <v>80000000</v>
      </c>
      <c r="AU88" s="62">
        <f>ROUNDDOWN(145*$G$12/20000000+2166,0)</f>
        <v>2166</v>
      </c>
    </row>
    <row r="89" spans="19:47">
      <c r="S89" s="34">
        <v>100000000</v>
      </c>
      <c r="T89" s="35" t="s">
        <v>63</v>
      </c>
      <c r="U89" s="62">
        <v>2309</v>
      </c>
      <c r="AD89" s="34">
        <v>80000000</v>
      </c>
      <c r="AE89" s="34">
        <v>100000000</v>
      </c>
      <c r="AF89" s="62">
        <f>ROUNDDOWN(61*$E$8/20000000+1463,0)</f>
        <v>1463</v>
      </c>
      <c r="AG89" s="19"/>
      <c r="AH89" s="19"/>
      <c r="AI89" s="19"/>
      <c r="AJ89" s="19"/>
      <c r="AK89" s="19"/>
      <c r="AL89" s="19">
        <v>130</v>
      </c>
      <c r="AM89" s="19">
        <v>490</v>
      </c>
      <c r="AS89" s="34">
        <v>80000000</v>
      </c>
      <c r="AT89" s="34">
        <v>100000000</v>
      </c>
      <c r="AU89" s="62">
        <f>ROUNDDOWN(119*$G$12/20000000+2270,0)</f>
        <v>2270</v>
      </c>
    </row>
    <row r="90" spans="19:47">
      <c r="S90" s="34"/>
      <c r="T90" s="34"/>
      <c r="U90" s="20"/>
      <c r="AD90" s="34">
        <v>100000000</v>
      </c>
      <c r="AE90" s="34">
        <v>120000000</v>
      </c>
      <c r="AF90" s="62">
        <f>ROUNDDOWN(53*$E$8/20000000+1503,0)</f>
        <v>1503</v>
      </c>
      <c r="AG90" s="19"/>
      <c r="AH90" s="19"/>
      <c r="AI90" s="19"/>
      <c r="AJ90" s="19"/>
      <c r="AK90" s="19"/>
      <c r="AL90" s="19">
        <v>131</v>
      </c>
      <c r="AM90" s="19">
        <v>499</v>
      </c>
      <c r="AS90" s="34">
        <v>100000000</v>
      </c>
      <c r="AT90" s="34">
        <v>0</v>
      </c>
      <c r="AU90" s="62">
        <v>2865</v>
      </c>
    </row>
    <row r="91" spans="19:47">
      <c r="S91" s="34"/>
      <c r="T91" s="34"/>
      <c r="U91" s="20"/>
      <c r="AD91" s="34">
        <v>120000000</v>
      </c>
      <c r="AE91" s="34">
        <v>150000000</v>
      </c>
      <c r="AF91" s="62">
        <f>ROUNDDOWN(66*$E$8/30000000+1557,0)</f>
        <v>1557</v>
      </c>
      <c r="AG91" s="19"/>
      <c r="AH91" s="19"/>
      <c r="AI91" s="19"/>
      <c r="AJ91" s="19"/>
      <c r="AK91" s="19"/>
      <c r="AL91" s="19">
        <v>132</v>
      </c>
      <c r="AM91" s="19">
        <v>508</v>
      </c>
    </row>
    <row r="92" spans="19:47">
      <c r="S92" s="34"/>
      <c r="U92" s="20"/>
      <c r="AD92" s="34">
        <v>150000000</v>
      </c>
      <c r="AE92" s="34">
        <v>200000000</v>
      </c>
      <c r="AF92" s="62">
        <f>ROUNDDOWN(91*$E$8/50000000+1614,0)</f>
        <v>1614</v>
      </c>
      <c r="AG92" s="19"/>
      <c r="AH92" s="19"/>
      <c r="AI92" s="19"/>
      <c r="AJ92" s="19"/>
      <c r="AK92" s="19"/>
      <c r="AL92" s="19">
        <v>133</v>
      </c>
      <c r="AM92" s="19">
        <v>518</v>
      </c>
    </row>
    <row r="93" spans="19:47">
      <c r="AD93" s="34">
        <v>200000000</v>
      </c>
      <c r="AE93" s="34">
        <v>250000000</v>
      </c>
      <c r="AF93" s="62">
        <f>ROUNDDOWN(73*$E$8/50000000+1686,0)</f>
        <v>1686</v>
      </c>
      <c r="AG93" s="19"/>
      <c r="AH93" s="19"/>
      <c r="AI93" s="19"/>
      <c r="AJ93" s="19"/>
      <c r="AK93" s="19"/>
      <c r="AL93" s="19">
        <v>134</v>
      </c>
      <c r="AM93" s="19">
        <v>527</v>
      </c>
    </row>
    <row r="94" spans="19:47">
      <c r="AD94" s="34">
        <v>250000000</v>
      </c>
      <c r="AE94" s="34">
        <v>300000000</v>
      </c>
      <c r="AF94" s="62">
        <f>ROUNDDOWN(63*$E$8/50000000+1736,0)</f>
        <v>1736</v>
      </c>
      <c r="AG94" s="19"/>
      <c r="AH94" s="19"/>
      <c r="AI94" s="19"/>
      <c r="AJ94" s="19"/>
      <c r="AK94" s="19"/>
      <c r="AL94" s="19">
        <v>135</v>
      </c>
      <c r="AM94" s="19">
        <v>536</v>
      </c>
    </row>
    <row r="95" spans="19:47">
      <c r="AD95" s="34">
        <v>300000000</v>
      </c>
      <c r="AE95" s="34"/>
      <c r="AF95" s="62">
        <v>2114</v>
      </c>
      <c r="AG95" s="19"/>
      <c r="AH95" s="19"/>
      <c r="AI95" s="19"/>
      <c r="AJ95" s="19"/>
      <c r="AK95" s="19"/>
      <c r="AL95" s="19">
        <v>136</v>
      </c>
      <c r="AM95" s="19">
        <v>545</v>
      </c>
    </row>
    <row r="96" spans="19:47">
      <c r="AF96" s="19"/>
      <c r="AG96" s="19"/>
      <c r="AH96" s="19"/>
      <c r="AI96" s="19"/>
      <c r="AJ96" s="19"/>
      <c r="AK96" s="19"/>
      <c r="AL96" s="19">
        <v>137</v>
      </c>
      <c r="AM96" s="19">
        <v>555</v>
      </c>
    </row>
    <row r="97" spans="32:39">
      <c r="AF97" s="19"/>
      <c r="AG97" s="19"/>
      <c r="AH97" s="19"/>
      <c r="AI97" s="19"/>
      <c r="AJ97" s="19"/>
      <c r="AK97" s="19"/>
      <c r="AL97" s="19">
        <v>138</v>
      </c>
      <c r="AM97" s="19">
        <v>564</v>
      </c>
    </row>
    <row r="98" spans="32:39">
      <c r="AF98" s="19"/>
      <c r="AG98" s="19"/>
      <c r="AH98" s="19"/>
      <c r="AI98" s="19"/>
      <c r="AJ98" s="19"/>
      <c r="AK98" s="19"/>
      <c r="AL98" s="19">
        <v>139</v>
      </c>
      <c r="AM98" s="19">
        <v>573</v>
      </c>
    </row>
    <row r="99" spans="32:39">
      <c r="AF99" s="19"/>
      <c r="AG99" s="19"/>
      <c r="AH99" s="19"/>
      <c r="AI99" s="19"/>
      <c r="AJ99" s="19"/>
      <c r="AK99" s="19"/>
      <c r="AL99" s="19">
        <v>140</v>
      </c>
      <c r="AM99" s="19">
        <v>583</v>
      </c>
    </row>
    <row r="100" spans="32:39">
      <c r="AF100" s="19"/>
      <c r="AG100" s="19"/>
      <c r="AH100" s="19"/>
      <c r="AI100" s="19"/>
      <c r="AJ100" s="19"/>
      <c r="AK100" s="19"/>
      <c r="AL100" s="19">
        <v>141</v>
      </c>
      <c r="AM100" s="19">
        <v>592</v>
      </c>
    </row>
    <row r="101" spans="32:39">
      <c r="AF101" s="19"/>
      <c r="AG101" s="19"/>
      <c r="AH101" s="19"/>
      <c r="AI101" s="19"/>
      <c r="AJ101" s="19"/>
      <c r="AK101" s="19"/>
      <c r="AL101" s="19">
        <v>142</v>
      </c>
      <c r="AM101" s="19">
        <v>601</v>
      </c>
    </row>
    <row r="102" spans="32:39">
      <c r="AF102" s="19"/>
      <c r="AG102" s="19"/>
      <c r="AH102" s="19"/>
      <c r="AI102" s="19"/>
      <c r="AJ102" s="19"/>
      <c r="AK102" s="19"/>
      <c r="AL102" s="19">
        <v>143</v>
      </c>
      <c r="AM102" s="19">
        <v>611</v>
      </c>
    </row>
    <row r="103" spans="32:39">
      <c r="AF103" s="19"/>
      <c r="AG103" s="19"/>
      <c r="AH103" s="19"/>
      <c r="AI103" s="19"/>
      <c r="AJ103" s="19"/>
      <c r="AK103" s="19"/>
      <c r="AL103" s="19">
        <v>144</v>
      </c>
      <c r="AM103" s="19">
        <v>620</v>
      </c>
    </row>
    <row r="104" spans="32:39">
      <c r="AF104" s="19"/>
      <c r="AG104" s="19"/>
      <c r="AH104" s="19"/>
      <c r="AI104" s="19"/>
      <c r="AJ104" s="19"/>
      <c r="AK104" s="19"/>
      <c r="AL104" s="19">
        <v>145</v>
      </c>
      <c r="AM104" s="19">
        <v>629</v>
      </c>
    </row>
    <row r="105" spans="32:39">
      <c r="AF105" s="19"/>
      <c r="AG105" s="19"/>
      <c r="AH105" s="19"/>
      <c r="AI105" s="19"/>
      <c r="AJ105" s="19"/>
      <c r="AK105" s="19"/>
      <c r="AL105" s="19">
        <v>146</v>
      </c>
      <c r="AM105" s="19">
        <v>638</v>
      </c>
    </row>
    <row r="106" spans="32:39">
      <c r="AF106" s="19"/>
      <c r="AG106" s="19"/>
      <c r="AH106" s="19"/>
      <c r="AI106" s="19"/>
      <c r="AJ106" s="19"/>
      <c r="AK106" s="19"/>
      <c r="AL106" s="19">
        <v>147</v>
      </c>
      <c r="AM106" s="19">
        <v>648</v>
      </c>
    </row>
    <row r="107" spans="32:39">
      <c r="AF107" s="19"/>
      <c r="AG107" s="19"/>
      <c r="AH107" s="19"/>
      <c r="AI107" s="19"/>
      <c r="AJ107" s="19"/>
      <c r="AK107" s="19"/>
      <c r="AL107" s="19">
        <v>148</v>
      </c>
      <c r="AM107" s="19">
        <v>657</v>
      </c>
    </row>
    <row r="108" spans="32:39">
      <c r="AF108" s="19"/>
      <c r="AG108" s="19"/>
      <c r="AH108" s="19"/>
      <c r="AI108" s="19"/>
      <c r="AJ108" s="19"/>
      <c r="AK108" s="19"/>
      <c r="AL108" s="19">
        <v>149</v>
      </c>
      <c r="AM108" s="19">
        <v>666</v>
      </c>
    </row>
    <row r="109" spans="32:39">
      <c r="AF109" s="19"/>
      <c r="AG109" s="19"/>
      <c r="AH109" s="19"/>
      <c r="AI109" s="19"/>
      <c r="AJ109" s="19"/>
      <c r="AK109" s="19"/>
      <c r="AL109" s="19">
        <v>150</v>
      </c>
      <c r="AM109" s="19">
        <v>676</v>
      </c>
    </row>
    <row r="110" spans="32:39">
      <c r="AF110" s="19"/>
      <c r="AG110" s="19"/>
      <c r="AH110" s="19"/>
      <c r="AI110" s="19"/>
      <c r="AJ110" s="19"/>
      <c r="AK110" s="19"/>
      <c r="AL110" s="19">
        <v>151</v>
      </c>
      <c r="AM110" s="19">
        <v>685</v>
      </c>
    </row>
    <row r="111" spans="32:39">
      <c r="AF111" s="19"/>
      <c r="AG111" s="19"/>
      <c r="AH111" s="19"/>
      <c r="AI111" s="19"/>
      <c r="AJ111" s="19"/>
      <c r="AK111" s="19"/>
      <c r="AL111" s="19">
        <v>152</v>
      </c>
      <c r="AM111" s="19">
        <v>694</v>
      </c>
    </row>
    <row r="112" spans="32:39">
      <c r="AF112" s="19"/>
      <c r="AG112" s="19"/>
      <c r="AH112" s="19"/>
      <c r="AI112" s="19"/>
      <c r="AJ112" s="19"/>
      <c r="AK112" s="19"/>
      <c r="AL112" s="19">
        <v>153</v>
      </c>
      <c r="AM112" s="19">
        <v>703</v>
      </c>
    </row>
    <row r="113" spans="32:39">
      <c r="AF113" s="19"/>
      <c r="AG113" s="19"/>
      <c r="AH113" s="19"/>
      <c r="AI113" s="19"/>
      <c r="AJ113" s="19"/>
      <c r="AK113" s="19"/>
      <c r="AL113" s="19">
        <v>154</v>
      </c>
      <c r="AM113" s="19">
        <v>713</v>
      </c>
    </row>
    <row r="114" spans="32:39">
      <c r="AF114" s="19"/>
      <c r="AG114" s="19"/>
      <c r="AH114" s="19"/>
      <c r="AI114" s="19"/>
      <c r="AJ114" s="19"/>
      <c r="AK114" s="19"/>
      <c r="AL114" s="19">
        <v>155</v>
      </c>
      <c r="AM114" s="19">
        <v>722</v>
      </c>
    </row>
    <row r="115" spans="32:39">
      <c r="AF115" s="19"/>
      <c r="AG115" s="19"/>
      <c r="AH115" s="19"/>
      <c r="AI115" s="19"/>
      <c r="AJ115" s="19"/>
      <c r="AK115" s="19"/>
      <c r="AL115" s="19">
        <v>156</v>
      </c>
      <c r="AM115" s="19">
        <v>731</v>
      </c>
    </row>
    <row r="116" spans="32:39">
      <c r="AF116" s="19"/>
      <c r="AG116" s="19"/>
      <c r="AH116" s="19"/>
      <c r="AI116" s="19"/>
      <c r="AJ116" s="19"/>
      <c r="AK116" s="19"/>
      <c r="AL116" s="19">
        <v>157</v>
      </c>
      <c r="AM116" s="19">
        <v>741</v>
      </c>
    </row>
    <row r="117" spans="32:39">
      <c r="AF117" s="19"/>
      <c r="AG117" s="19"/>
      <c r="AH117" s="19"/>
      <c r="AI117" s="19"/>
      <c r="AJ117" s="19"/>
      <c r="AK117" s="19"/>
      <c r="AL117" s="19">
        <v>158</v>
      </c>
      <c r="AM117" s="19">
        <v>750</v>
      </c>
    </row>
    <row r="118" spans="32:39">
      <c r="AF118" s="19"/>
      <c r="AG118" s="19"/>
      <c r="AH118" s="19"/>
      <c r="AI118" s="19"/>
      <c r="AJ118" s="19"/>
      <c r="AK118" s="19"/>
      <c r="AL118" s="19">
        <v>159</v>
      </c>
      <c r="AM118" s="19">
        <v>759</v>
      </c>
    </row>
    <row r="119" spans="32:39">
      <c r="AF119" s="19"/>
      <c r="AG119" s="19"/>
      <c r="AH119" s="19"/>
      <c r="AI119" s="19"/>
      <c r="AJ119" s="19"/>
      <c r="AK119" s="19"/>
      <c r="AL119" s="19">
        <v>160</v>
      </c>
      <c r="AM119" s="19">
        <v>768</v>
      </c>
    </row>
    <row r="120" spans="32:39">
      <c r="AF120" s="19"/>
      <c r="AG120" s="19"/>
      <c r="AH120" s="19"/>
      <c r="AI120" s="19"/>
      <c r="AJ120" s="19"/>
      <c r="AK120" s="19"/>
      <c r="AL120" s="19">
        <v>161</v>
      </c>
      <c r="AM120" s="19">
        <v>778</v>
      </c>
    </row>
    <row r="121" spans="32:39">
      <c r="AF121" s="19"/>
      <c r="AG121" s="19"/>
      <c r="AH121" s="19"/>
      <c r="AI121" s="19"/>
      <c r="AJ121" s="19"/>
      <c r="AK121" s="19"/>
      <c r="AL121" s="19">
        <v>162</v>
      </c>
      <c r="AM121" s="19">
        <v>787</v>
      </c>
    </row>
    <row r="122" spans="32:39">
      <c r="AF122" s="19"/>
      <c r="AG122" s="19"/>
      <c r="AH122" s="19"/>
      <c r="AI122" s="19"/>
      <c r="AJ122" s="19"/>
      <c r="AK122" s="19"/>
      <c r="AL122" s="19">
        <v>163</v>
      </c>
      <c r="AM122" s="19">
        <v>796</v>
      </c>
    </row>
    <row r="123" spans="32:39">
      <c r="AF123" s="19"/>
      <c r="AG123" s="19"/>
      <c r="AH123" s="19"/>
      <c r="AI123" s="19"/>
      <c r="AJ123" s="19"/>
      <c r="AK123" s="19"/>
      <c r="AL123" s="19">
        <v>164</v>
      </c>
      <c r="AM123" s="19">
        <v>806</v>
      </c>
    </row>
    <row r="124" spans="32:39">
      <c r="AF124" s="19"/>
      <c r="AG124" s="19"/>
      <c r="AH124" s="19"/>
      <c r="AI124" s="19"/>
      <c r="AJ124" s="19"/>
      <c r="AK124" s="19"/>
      <c r="AL124" s="19">
        <v>165</v>
      </c>
      <c r="AM124" s="19">
        <v>815</v>
      </c>
    </row>
    <row r="125" spans="32:39">
      <c r="AF125" s="19"/>
      <c r="AG125" s="19"/>
      <c r="AH125" s="19"/>
      <c r="AI125" s="19"/>
      <c r="AJ125" s="19"/>
      <c r="AK125" s="19"/>
      <c r="AL125" s="19">
        <v>166</v>
      </c>
      <c r="AM125" s="19">
        <v>824</v>
      </c>
    </row>
    <row r="126" spans="32:39">
      <c r="AF126" s="19"/>
      <c r="AG126" s="19"/>
      <c r="AH126" s="19"/>
      <c r="AI126" s="19"/>
      <c r="AJ126" s="19"/>
      <c r="AK126" s="19"/>
      <c r="AL126" s="19">
        <v>167</v>
      </c>
      <c r="AM126" s="19">
        <v>834</v>
      </c>
    </row>
    <row r="127" spans="32:39">
      <c r="AF127" s="19"/>
      <c r="AG127" s="19"/>
      <c r="AH127" s="19"/>
      <c r="AI127" s="19"/>
      <c r="AJ127" s="19"/>
      <c r="AK127" s="19"/>
      <c r="AL127" s="19">
        <v>168</v>
      </c>
      <c r="AM127" s="19">
        <v>843</v>
      </c>
    </row>
    <row r="128" spans="32:39">
      <c r="AF128" s="19"/>
      <c r="AG128" s="19"/>
      <c r="AH128" s="19"/>
      <c r="AI128" s="19"/>
      <c r="AJ128" s="19"/>
      <c r="AK128" s="19"/>
      <c r="AL128" s="19">
        <v>169</v>
      </c>
      <c r="AM128" s="19">
        <v>852</v>
      </c>
    </row>
    <row r="129" spans="32:39">
      <c r="AF129" s="19"/>
      <c r="AG129" s="19"/>
      <c r="AH129" s="19"/>
      <c r="AI129" s="19"/>
      <c r="AJ129" s="19"/>
      <c r="AK129" s="19"/>
      <c r="AL129" s="19">
        <v>170</v>
      </c>
      <c r="AM129" s="19">
        <v>861</v>
      </c>
    </row>
    <row r="130" spans="32:39">
      <c r="AF130" s="19"/>
      <c r="AG130" s="19"/>
      <c r="AH130" s="19"/>
      <c r="AI130" s="19"/>
      <c r="AJ130" s="19"/>
      <c r="AK130" s="19"/>
      <c r="AL130" s="19">
        <v>171</v>
      </c>
      <c r="AM130" s="19">
        <v>871</v>
      </c>
    </row>
    <row r="131" spans="32:39">
      <c r="AF131" s="19"/>
      <c r="AG131" s="19"/>
      <c r="AH131" s="19"/>
      <c r="AI131" s="19"/>
      <c r="AJ131" s="19"/>
      <c r="AK131" s="19"/>
      <c r="AL131" s="19">
        <v>172</v>
      </c>
      <c r="AM131" s="19">
        <v>880</v>
      </c>
    </row>
    <row r="132" spans="32:39">
      <c r="AF132" s="19"/>
      <c r="AG132" s="19"/>
      <c r="AH132" s="19"/>
      <c r="AI132" s="19"/>
      <c r="AJ132" s="19"/>
      <c r="AK132" s="19"/>
      <c r="AL132" s="19">
        <v>173</v>
      </c>
      <c r="AM132" s="19">
        <v>889</v>
      </c>
    </row>
    <row r="133" spans="32:39">
      <c r="AF133" s="19"/>
      <c r="AG133" s="19"/>
      <c r="AH133" s="19"/>
      <c r="AI133" s="19"/>
      <c r="AJ133" s="19"/>
      <c r="AK133" s="19"/>
      <c r="AL133" s="19">
        <v>174</v>
      </c>
      <c r="AM133" s="19">
        <v>899</v>
      </c>
    </row>
    <row r="134" spans="32:39">
      <c r="AF134" s="19"/>
      <c r="AG134" s="19"/>
      <c r="AH134" s="19"/>
      <c r="AI134" s="19"/>
      <c r="AJ134" s="19"/>
      <c r="AK134" s="19"/>
      <c r="AL134" s="19">
        <v>175</v>
      </c>
      <c r="AM134" s="19">
        <v>908</v>
      </c>
    </row>
    <row r="135" spans="32:39">
      <c r="AF135" s="19"/>
      <c r="AG135" s="19"/>
      <c r="AH135" s="19"/>
      <c r="AI135" s="19"/>
      <c r="AJ135" s="19"/>
      <c r="AK135" s="19"/>
      <c r="AL135" s="19">
        <v>176</v>
      </c>
      <c r="AM135" s="19">
        <v>917</v>
      </c>
    </row>
    <row r="136" spans="32:39">
      <c r="AF136" s="19"/>
      <c r="AG136" s="19"/>
      <c r="AH136" s="19"/>
      <c r="AI136" s="19"/>
      <c r="AJ136" s="19"/>
      <c r="AK136" s="19"/>
      <c r="AL136" s="19">
        <v>177</v>
      </c>
      <c r="AM136" s="19">
        <v>926</v>
      </c>
    </row>
    <row r="137" spans="32:39">
      <c r="AF137" s="19"/>
      <c r="AG137" s="19"/>
      <c r="AH137" s="19"/>
      <c r="AI137" s="19"/>
      <c r="AJ137" s="19"/>
      <c r="AK137" s="19"/>
      <c r="AL137" s="19">
        <v>178</v>
      </c>
      <c r="AM137" s="19">
        <v>936</v>
      </c>
    </row>
    <row r="138" spans="32:39">
      <c r="AF138" s="19"/>
      <c r="AG138" s="19"/>
      <c r="AH138" s="19"/>
      <c r="AI138" s="19"/>
      <c r="AJ138" s="19"/>
      <c r="AK138" s="19"/>
      <c r="AL138" s="19">
        <v>179</v>
      </c>
      <c r="AM138" s="19">
        <v>945</v>
      </c>
    </row>
    <row r="139" spans="32:39">
      <c r="AF139" s="19"/>
      <c r="AG139" s="19"/>
      <c r="AH139" s="19"/>
      <c r="AI139" s="19"/>
      <c r="AJ139" s="19"/>
      <c r="AK139" s="19"/>
      <c r="AL139" s="19">
        <v>180</v>
      </c>
      <c r="AM139" s="19">
        <v>954</v>
      </c>
    </row>
  </sheetData>
  <mergeCells count="30">
    <mergeCell ref="K5:L6"/>
    <mergeCell ref="L8:L10"/>
    <mergeCell ref="K8:K10"/>
    <mergeCell ref="J8:J10"/>
    <mergeCell ref="B21:J21"/>
    <mergeCell ref="K21:L21"/>
    <mergeCell ref="C20:D20"/>
    <mergeCell ref="G20:H20"/>
    <mergeCell ref="B12:B19"/>
    <mergeCell ref="L12:L19"/>
    <mergeCell ref="C19:D19"/>
    <mergeCell ref="C12:D12"/>
    <mergeCell ref="I12:I19"/>
    <mergeCell ref="J12:J19"/>
    <mergeCell ref="K12:K19"/>
    <mergeCell ref="C13:C18"/>
    <mergeCell ref="C11:D11"/>
    <mergeCell ref="G11:H11"/>
    <mergeCell ref="G5:H6"/>
    <mergeCell ref="I3:J3"/>
    <mergeCell ref="I5:J5"/>
    <mergeCell ref="B8:B10"/>
    <mergeCell ref="C8:D8"/>
    <mergeCell ref="I8:I10"/>
    <mergeCell ref="C7:D7"/>
    <mergeCell ref="B5:B6"/>
    <mergeCell ref="C5:E6"/>
    <mergeCell ref="F5:F6"/>
    <mergeCell ref="C9:D9"/>
    <mergeCell ref="C10:D10"/>
  </mergeCells>
  <phoneticPr fontId="3"/>
  <pageMargins left="0.75" right="0.75" top="1" bottom="1" header="0.51200000000000001" footer="0.51200000000000001"/>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U139"/>
  <sheetViews>
    <sheetView view="pageBreakPreview" topLeftCell="A5" zoomScale="75" zoomScaleNormal="100" workbookViewId="0">
      <selection activeCell="F19" sqref="F19"/>
    </sheetView>
  </sheetViews>
  <sheetFormatPr defaultColWidth="9.375" defaultRowHeight="13.5"/>
  <cols>
    <col min="2" max="2" width="9.375" style="10"/>
    <col min="5" max="5" width="12.625" style="10" customWidth="1"/>
    <col min="6" max="6" width="31.25" style="10" customWidth="1"/>
    <col min="7" max="7" width="12.625" style="10" customWidth="1"/>
    <col min="8" max="8" width="9.625" style="10" bestFit="1" customWidth="1"/>
    <col min="9" max="9" width="9.625" style="10" customWidth="1"/>
    <col min="10" max="10" width="14.625" style="10" bestFit="1" customWidth="1"/>
    <col min="11" max="11" width="9.625" style="10" customWidth="1"/>
    <col min="12" max="12" width="12.5" style="10" bestFit="1" customWidth="1"/>
    <col min="13" max="14" width="9.5" bestFit="1" customWidth="1"/>
    <col min="16" max="17" width="9.5" bestFit="1" customWidth="1"/>
    <col min="19" max="20" width="12.125" bestFit="1" customWidth="1"/>
    <col min="30" max="31" width="12.125" style="63" bestFit="1" customWidth="1"/>
    <col min="34" max="35" width="11" bestFit="1" customWidth="1"/>
    <col min="45" max="46" width="12.125" bestFit="1" customWidth="1"/>
  </cols>
  <sheetData>
    <row r="1" spans="2:31" ht="21.75" customHeight="1">
      <c r="B1" s="42" t="s">
        <v>64</v>
      </c>
    </row>
    <row r="2" spans="2:31" ht="8.25" customHeight="1">
      <c r="B2" s="21"/>
      <c r="K2" s="55"/>
    </row>
    <row r="3" spans="2:31" s="22" customFormat="1" ht="19.899999999999999" customHeight="1">
      <c r="E3" s="23" t="s">
        <v>0</v>
      </c>
      <c r="F3" s="44">
        <f>様式４総括表!J3</f>
        <v>0</v>
      </c>
      <c r="G3" s="45" t="s">
        <v>102</v>
      </c>
      <c r="H3" s="44">
        <f>様式４総括表!H4</f>
        <v>0</v>
      </c>
      <c r="I3" s="182" t="s">
        <v>32</v>
      </c>
      <c r="J3" s="183"/>
      <c r="K3" s="56">
        <f>希望１位!K3</f>
        <v>6</v>
      </c>
      <c r="AD3" s="64"/>
      <c r="AE3" s="64"/>
    </row>
    <row r="4" spans="2:31" ht="8.25" customHeight="1" thickBot="1">
      <c r="J4" s="11"/>
      <c r="K4" s="55"/>
    </row>
    <row r="5" spans="2:31" ht="19.899999999999999" customHeight="1">
      <c r="B5" s="206" t="s">
        <v>33</v>
      </c>
      <c r="C5" s="208" t="s">
        <v>34</v>
      </c>
      <c r="D5" s="209"/>
      <c r="E5" s="210"/>
      <c r="F5" s="214" t="s">
        <v>35</v>
      </c>
      <c r="G5" s="215" t="s">
        <v>36</v>
      </c>
      <c r="H5" s="216"/>
      <c r="I5" s="184" t="s">
        <v>37</v>
      </c>
      <c r="J5" s="185"/>
      <c r="K5" s="200" t="s">
        <v>38</v>
      </c>
      <c r="L5" s="201"/>
    </row>
    <row r="6" spans="2:31" ht="40.5" customHeight="1">
      <c r="B6" s="207"/>
      <c r="C6" s="211"/>
      <c r="D6" s="212"/>
      <c r="E6" s="213"/>
      <c r="F6" s="207"/>
      <c r="G6" s="217"/>
      <c r="H6" s="218"/>
      <c r="I6" s="12" t="s">
        <v>39</v>
      </c>
      <c r="J6" s="13" t="s">
        <v>40</v>
      </c>
      <c r="K6" s="202"/>
      <c r="L6" s="203"/>
    </row>
    <row r="7" spans="2:31" ht="40.5" customHeight="1">
      <c r="B7" s="14" t="s">
        <v>41</v>
      </c>
      <c r="C7" s="204" t="s">
        <v>65</v>
      </c>
      <c r="D7" s="205"/>
      <c r="E7" s="36">
        <f>様式４総括表!P21</f>
        <v>0</v>
      </c>
      <c r="F7" s="30"/>
      <c r="G7" s="43">
        <f>E7</f>
        <v>0</v>
      </c>
      <c r="H7" s="75">
        <f>VLOOKUP(E7,$S$48:$U$92,3)</f>
        <v>397</v>
      </c>
      <c r="I7" s="74" t="s">
        <v>42</v>
      </c>
      <c r="J7" s="73">
        <f>H7</f>
        <v>397</v>
      </c>
      <c r="K7" s="57" t="s">
        <v>77</v>
      </c>
      <c r="L7" s="41">
        <f>J7*0.25</f>
        <v>99.25</v>
      </c>
      <c r="M7" s="15"/>
      <c r="N7" s="16">
        <f>L7</f>
        <v>99.25</v>
      </c>
    </row>
    <row r="8" spans="2:31" ht="40.5" customHeight="1">
      <c r="B8" s="194" t="s">
        <v>43</v>
      </c>
      <c r="C8" s="189" t="s">
        <v>66</v>
      </c>
      <c r="D8" s="190"/>
      <c r="E8" s="37">
        <f>様式４総括表!P30</f>
        <v>0</v>
      </c>
      <c r="F8" s="69" t="s">
        <v>79</v>
      </c>
      <c r="G8" s="68">
        <f>E8</f>
        <v>0</v>
      </c>
      <c r="H8" s="38">
        <f>VLOOKUP(G8,$AD$49:$AF$109,3)</f>
        <v>361</v>
      </c>
      <c r="I8" s="198" t="s">
        <v>42</v>
      </c>
      <c r="J8" s="199">
        <f>H10</f>
        <v>454</v>
      </c>
      <c r="K8" s="197" t="s">
        <v>78</v>
      </c>
      <c r="L8" s="191">
        <f>J8*0.15</f>
        <v>68.099999999999994</v>
      </c>
      <c r="M8" s="15"/>
      <c r="N8" s="16"/>
    </row>
    <row r="9" spans="2:31" ht="40.5" customHeight="1">
      <c r="B9" s="195"/>
      <c r="C9" s="189" t="s">
        <v>76</v>
      </c>
      <c r="D9" s="190"/>
      <c r="E9" s="37">
        <f>様式４総括表!P31</f>
        <v>0</v>
      </c>
      <c r="F9" s="33" t="s">
        <v>44</v>
      </c>
      <c r="G9" s="68">
        <f>IF(E9&lt;0,0,E9)</f>
        <v>0</v>
      </c>
      <c r="H9" s="38">
        <f>VLOOKUP(G9,$AH$49:$AJ$79,3)</f>
        <v>547</v>
      </c>
      <c r="I9" s="198"/>
      <c r="J9" s="199"/>
      <c r="K9" s="197"/>
      <c r="L9" s="192"/>
      <c r="M9" s="15"/>
      <c r="N9" s="16"/>
    </row>
    <row r="10" spans="2:31" ht="40.5" customHeight="1">
      <c r="B10" s="196"/>
      <c r="C10" s="193" t="s">
        <v>85</v>
      </c>
      <c r="D10" s="186"/>
      <c r="E10" s="37"/>
      <c r="F10" s="30"/>
      <c r="G10" s="43"/>
      <c r="H10" s="39">
        <f>INT((H8+H9)/2)</f>
        <v>454</v>
      </c>
      <c r="I10" s="198"/>
      <c r="J10" s="199"/>
      <c r="K10" s="197"/>
      <c r="L10" s="192"/>
      <c r="M10" s="15"/>
      <c r="N10" s="16">
        <f>L8</f>
        <v>68.099999999999994</v>
      </c>
    </row>
    <row r="11" spans="2:31" ht="40.5" customHeight="1">
      <c r="B11" s="31" t="s">
        <v>45</v>
      </c>
      <c r="C11" s="186" t="s">
        <v>46</v>
      </c>
      <c r="D11" s="186"/>
      <c r="E11" s="37">
        <f>様式４総括表!P28</f>
        <v>0</v>
      </c>
      <c r="F11" s="30"/>
      <c r="G11" s="187">
        <f>E11</f>
        <v>0</v>
      </c>
      <c r="H11" s="188"/>
      <c r="I11" s="32" t="s">
        <v>47</v>
      </c>
      <c r="J11" s="40">
        <f>ROUND(E11/K3,0)</f>
        <v>0</v>
      </c>
      <c r="K11" s="58" t="s">
        <v>67</v>
      </c>
      <c r="L11" s="41">
        <f>J11*0.2</f>
        <v>0</v>
      </c>
      <c r="M11" s="15"/>
      <c r="N11" s="16">
        <f>L11</f>
        <v>0</v>
      </c>
    </row>
    <row r="12" spans="2:31" ht="25.5" customHeight="1">
      <c r="B12" s="161" t="s">
        <v>87</v>
      </c>
      <c r="C12" s="164" t="s">
        <v>88</v>
      </c>
      <c r="D12" s="165"/>
      <c r="E12" s="36">
        <f>様式４総括表!P22</f>
        <v>0</v>
      </c>
      <c r="F12" s="30"/>
      <c r="G12" s="43">
        <f>E12</f>
        <v>0</v>
      </c>
      <c r="H12" s="75">
        <f>VLOOKUP(E12,$AS$48:$AU$90,3)</f>
        <v>241</v>
      </c>
      <c r="I12" s="166" t="s">
        <v>99</v>
      </c>
      <c r="J12" s="169">
        <f>H19</f>
        <v>456</v>
      </c>
      <c r="K12" s="176" t="s">
        <v>98</v>
      </c>
      <c r="L12" s="179">
        <f>J12*0.25</f>
        <v>114</v>
      </c>
      <c r="M12" s="15"/>
      <c r="N12" s="16"/>
    </row>
    <row r="13" spans="2:31" s="10" customFormat="1" ht="25.5" customHeight="1">
      <c r="B13" s="162"/>
      <c r="C13" s="172" t="s">
        <v>48</v>
      </c>
      <c r="D13" s="76" t="s">
        <v>89</v>
      </c>
      <c r="E13" s="37">
        <f>様式４総括表!P23</f>
        <v>0</v>
      </c>
      <c r="F13" s="30" t="s">
        <v>93</v>
      </c>
      <c r="G13" s="90">
        <f>E13*6</f>
        <v>0</v>
      </c>
      <c r="H13" s="39"/>
      <c r="I13" s="167"/>
      <c r="J13" s="170"/>
      <c r="K13" s="177"/>
      <c r="L13" s="180"/>
      <c r="M13" s="15"/>
      <c r="N13" s="16"/>
      <c r="AD13" s="65"/>
      <c r="AE13" s="65"/>
    </row>
    <row r="14" spans="2:31" s="10" customFormat="1" ht="25.5" customHeight="1">
      <c r="B14" s="162"/>
      <c r="C14" s="172"/>
      <c r="D14" s="76" t="s">
        <v>90</v>
      </c>
      <c r="E14" s="37">
        <f>様式４総括表!P24</f>
        <v>0</v>
      </c>
      <c r="F14" s="30" t="s">
        <v>49</v>
      </c>
      <c r="G14" s="90">
        <f>E14*5</f>
        <v>0</v>
      </c>
      <c r="H14" s="39"/>
      <c r="I14" s="167"/>
      <c r="J14" s="170"/>
      <c r="K14" s="177"/>
      <c r="L14" s="180"/>
      <c r="M14" s="15"/>
      <c r="N14" s="16"/>
      <c r="AD14" s="65"/>
      <c r="AE14" s="65"/>
    </row>
    <row r="15" spans="2:31" s="10" customFormat="1" ht="25.5" customHeight="1">
      <c r="B15" s="162"/>
      <c r="C15" s="172"/>
      <c r="D15" s="76" t="s">
        <v>91</v>
      </c>
      <c r="E15" s="37">
        <f>様式４総括表!P25</f>
        <v>0</v>
      </c>
      <c r="F15" s="30" t="s">
        <v>92</v>
      </c>
      <c r="G15" s="90">
        <f>E15*3</f>
        <v>0</v>
      </c>
      <c r="H15" s="39"/>
      <c r="I15" s="167"/>
      <c r="J15" s="170"/>
      <c r="K15" s="177"/>
      <c r="L15" s="180"/>
      <c r="M15" s="15"/>
      <c r="N15" s="16"/>
      <c r="AD15" s="65"/>
      <c r="AE15" s="65"/>
    </row>
    <row r="16" spans="2:31" s="10" customFormat="1" ht="25.5" customHeight="1">
      <c r="B16" s="162"/>
      <c r="C16" s="173"/>
      <c r="D16" s="76" t="s">
        <v>50</v>
      </c>
      <c r="E16" s="37">
        <f>様式４総括表!P26</f>
        <v>0</v>
      </c>
      <c r="F16" s="30" t="s">
        <v>51</v>
      </c>
      <c r="G16" s="90">
        <f>E16*2</f>
        <v>0</v>
      </c>
      <c r="H16" s="39"/>
      <c r="I16" s="167"/>
      <c r="J16" s="170"/>
      <c r="K16" s="177"/>
      <c r="L16" s="180"/>
      <c r="M16" s="15"/>
      <c r="N16" s="16">
        <f>L16</f>
        <v>0</v>
      </c>
      <c r="AD16" s="65"/>
      <c r="AE16" s="65"/>
    </row>
    <row r="17" spans="2:31" s="10" customFormat="1" ht="25.5" customHeight="1">
      <c r="B17" s="162"/>
      <c r="C17" s="173"/>
      <c r="D17" s="76" t="s">
        <v>52</v>
      </c>
      <c r="E17" s="37">
        <f>様式４総括表!P27</f>
        <v>0</v>
      </c>
      <c r="F17" s="30" t="s">
        <v>53</v>
      </c>
      <c r="G17" s="90">
        <f>E17</f>
        <v>0</v>
      </c>
      <c r="H17" s="39"/>
      <c r="I17" s="167"/>
      <c r="J17" s="170"/>
      <c r="K17" s="177"/>
      <c r="L17" s="180"/>
      <c r="M17" s="15">
        <f>SUM(E13:E17)</f>
        <v>0</v>
      </c>
      <c r="N17" s="17">
        <f>VLOOKUP(M17,$Z$48:$AA$77,2)*0.2</f>
        <v>118</v>
      </c>
      <c r="P17" s="10">
        <v>100000</v>
      </c>
      <c r="Q17" s="10">
        <f>VLOOKUP(P17,$S$48:$U$92,2)</f>
        <v>120000</v>
      </c>
      <c r="AD17" s="65"/>
      <c r="AE17" s="65"/>
    </row>
    <row r="18" spans="2:31" s="10" customFormat="1" ht="25.5" customHeight="1">
      <c r="B18" s="162"/>
      <c r="C18" s="173"/>
      <c r="D18" s="31" t="s">
        <v>54</v>
      </c>
      <c r="E18" s="37"/>
      <c r="F18" s="30"/>
      <c r="G18" s="90">
        <f>SUM(G13:G17)</f>
        <v>0</v>
      </c>
      <c r="H18" s="38">
        <f>VLOOKUP(G18,$AO$45:$AQ$77,3)</f>
        <v>510</v>
      </c>
      <c r="I18" s="167"/>
      <c r="J18" s="170"/>
      <c r="K18" s="177"/>
      <c r="L18" s="180"/>
      <c r="M18" s="15"/>
      <c r="N18" s="17"/>
      <c r="AD18" s="65"/>
      <c r="AE18" s="65"/>
    </row>
    <row r="19" spans="2:31" s="10" customFormat="1" ht="25.5" customHeight="1">
      <c r="B19" s="163"/>
      <c r="C19" s="174" t="s">
        <v>100</v>
      </c>
      <c r="D19" s="175"/>
      <c r="E19" s="47"/>
      <c r="F19" s="48"/>
      <c r="G19" s="88"/>
      <c r="H19" s="89">
        <f>INT(H12*0.2)+INT(H18*0.8)</f>
        <v>456</v>
      </c>
      <c r="I19" s="168"/>
      <c r="J19" s="171"/>
      <c r="K19" s="178"/>
      <c r="L19" s="181"/>
      <c r="M19" s="15"/>
      <c r="N19" s="17"/>
      <c r="AD19" s="65"/>
      <c r="AE19" s="65"/>
    </row>
    <row r="20" spans="2:31" s="10" customFormat="1" ht="40.5" customHeight="1" thickBot="1">
      <c r="B20" s="46" t="s">
        <v>55</v>
      </c>
      <c r="C20" s="152" t="s">
        <v>56</v>
      </c>
      <c r="D20" s="153"/>
      <c r="E20" s="47">
        <f>様式４総括表!P29</f>
        <v>0</v>
      </c>
      <c r="F20" s="48"/>
      <c r="G20" s="154">
        <f>E20</f>
        <v>0</v>
      </c>
      <c r="H20" s="155"/>
      <c r="I20" s="51" t="s">
        <v>47</v>
      </c>
      <c r="J20" s="49">
        <f>ROUND(E20/K3,0)</f>
        <v>0</v>
      </c>
      <c r="K20" s="87" t="s">
        <v>68</v>
      </c>
      <c r="L20" s="50">
        <f>J20*0.15</f>
        <v>0</v>
      </c>
      <c r="M20" s="15"/>
      <c r="N20" s="16">
        <f>L20</f>
        <v>0</v>
      </c>
      <c r="AD20" s="65"/>
      <c r="AE20" s="65"/>
    </row>
    <row r="21" spans="2:31" ht="35.25" customHeight="1" thickTop="1" thickBot="1">
      <c r="B21" s="156" t="s">
        <v>71</v>
      </c>
      <c r="C21" s="157"/>
      <c r="D21" s="157"/>
      <c r="E21" s="157"/>
      <c r="F21" s="157"/>
      <c r="G21" s="157"/>
      <c r="H21" s="157"/>
      <c r="I21" s="157"/>
      <c r="J21" s="158"/>
      <c r="K21" s="159">
        <f>SUM(L7:L20)</f>
        <v>281.35000000000002</v>
      </c>
      <c r="L21" s="160"/>
      <c r="M21" s="15"/>
      <c r="N21" s="15"/>
    </row>
    <row r="22" spans="2:31" ht="19.899999999999999" customHeight="1">
      <c r="K22" s="55"/>
      <c r="M22" s="15"/>
      <c r="N22" s="15"/>
    </row>
    <row r="23" spans="2:31" ht="19.899999999999999" customHeight="1" thickBot="1">
      <c r="I23" s="18"/>
      <c r="J23" s="18"/>
      <c r="K23" s="59"/>
      <c r="M23" s="15"/>
      <c r="N23" s="15">
        <f>ROUND((N7+N17+N10+N11+N20),0)</f>
        <v>285</v>
      </c>
    </row>
    <row r="24" spans="2:31" ht="19.899999999999999" customHeight="1" thickTop="1" thickBot="1">
      <c r="K24" s="60" t="s">
        <v>70</v>
      </c>
      <c r="L24" s="92">
        <f>ROUND((L7+L12+L8+L11+L20),0)</f>
        <v>281</v>
      </c>
    </row>
    <row r="25" spans="2:31" ht="19.899999999999999" customHeight="1" thickTop="1">
      <c r="K25" s="61" t="s">
        <v>72</v>
      </c>
    </row>
    <row r="26" spans="2:31" ht="19.899999999999999" customHeight="1">
      <c r="K26" s="55"/>
    </row>
    <row r="27" spans="2:31" ht="19.899999999999999" customHeight="1">
      <c r="K27" s="55"/>
    </row>
    <row r="28" spans="2:31" ht="19.899999999999999" customHeight="1">
      <c r="K28" s="55"/>
    </row>
    <row r="29" spans="2:31" ht="19.899999999999999" customHeight="1">
      <c r="K29" s="55"/>
    </row>
    <row r="30" spans="2:31" ht="19.899999999999999" customHeight="1">
      <c r="K30" s="55"/>
    </row>
    <row r="31" spans="2:31" ht="19.899999999999999" customHeight="1">
      <c r="K31" s="55"/>
    </row>
    <row r="32" spans="2:31" ht="19.899999999999999" customHeight="1">
      <c r="K32" s="55"/>
    </row>
    <row r="33" spans="2:47" ht="19.899999999999999" customHeight="1">
      <c r="K33" s="55"/>
    </row>
    <row r="34" spans="2:47" ht="19.899999999999999" customHeight="1">
      <c r="K34" s="55"/>
    </row>
    <row r="35" spans="2:47" ht="19.899999999999999" customHeight="1">
      <c r="K35" s="55"/>
    </row>
    <row r="36" spans="2:47" ht="19.899999999999999" customHeight="1">
      <c r="K36" s="55"/>
    </row>
    <row r="37" spans="2:47" ht="19.899999999999999" customHeight="1">
      <c r="K37" s="55"/>
    </row>
    <row r="38" spans="2:47" ht="19.899999999999999" customHeight="1">
      <c r="K38" s="55"/>
    </row>
    <row r="39" spans="2:47" ht="19.899999999999999" customHeight="1">
      <c r="K39" s="55"/>
    </row>
    <row r="40" spans="2:47" ht="19.899999999999999" customHeight="1">
      <c r="K40" s="55"/>
    </row>
    <row r="41" spans="2:47" ht="19.899999999999999" customHeight="1">
      <c r="K41" s="55"/>
    </row>
    <row r="42" spans="2:47" ht="19.899999999999999" customHeight="1">
      <c r="K42" s="55"/>
    </row>
    <row r="43" spans="2:47" ht="19.899999999999999" customHeight="1">
      <c r="K43" s="55"/>
    </row>
    <row r="44" spans="2:47" ht="19.899999999999999" customHeight="1">
      <c r="K44" s="55"/>
    </row>
    <row r="45" spans="2:47" ht="19.899999999999999" customHeight="1">
      <c r="K45" s="55"/>
    </row>
    <row r="46" spans="2:47" ht="19.899999999999999" customHeight="1">
      <c r="K46" s="55"/>
    </row>
    <row r="47" spans="2:47" s="52" customFormat="1">
      <c r="B47" s="53"/>
      <c r="E47" s="53"/>
      <c r="F47" s="53"/>
      <c r="G47" s="53"/>
      <c r="H47" s="53"/>
      <c r="I47" s="53"/>
      <c r="J47" s="53"/>
      <c r="K47" s="53"/>
      <c r="L47" s="53"/>
      <c r="S47" s="52" t="s">
        <v>73</v>
      </c>
      <c r="Z47" s="52" t="s">
        <v>74</v>
      </c>
      <c r="AD47" s="66"/>
      <c r="AE47" s="67"/>
      <c r="AF47" s="54"/>
      <c r="AG47" s="54"/>
      <c r="AH47" s="54"/>
      <c r="AI47" s="54"/>
      <c r="AK47" s="54"/>
      <c r="AL47" s="54"/>
      <c r="AM47" s="54"/>
    </row>
    <row r="48" spans="2:47">
      <c r="S48" s="34">
        <v>0</v>
      </c>
      <c r="T48" s="34">
        <v>10000</v>
      </c>
      <c r="U48" s="62">
        <f>ROUNDDOWN(131*$E$7/10000+397,0)</f>
        <v>397</v>
      </c>
      <c r="Z48">
        <v>0</v>
      </c>
      <c r="AA48">
        <v>590</v>
      </c>
      <c r="AD48" s="66" t="s">
        <v>57</v>
      </c>
      <c r="AE48" s="67"/>
      <c r="AF48" s="54" t="s">
        <v>58</v>
      </c>
      <c r="AG48" s="54"/>
      <c r="AH48" s="54" t="s">
        <v>80</v>
      </c>
      <c r="AI48" s="52"/>
      <c r="AJ48" s="54" t="s">
        <v>59</v>
      </c>
      <c r="AK48" s="54"/>
      <c r="AL48" s="54" t="s">
        <v>60</v>
      </c>
      <c r="AM48" s="54" t="s">
        <v>61</v>
      </c>
      <c r="AO48" s="66" t="s">
        <v>81</v>
      </c>
      <c r="AP48" s="67"/>
      <c r="AQ48" s="54" t="s">
        <v>82</v>
      </c>
      <c r="AR48" s="54"/>
      <c r="AS48" s="54" t="s">
        <v>84</v>
      </c>
      <c r="AT48" s="52"/>
      <c r="AU48" s="54" t="s">
        <v>83</v>
      </c>
    </row>
    <row r="49" spans="19:47">
      <c r="S49" s="34">
        <v>10000</v>
      </c>
      <c r="T49" s="34">
        <v>12000</v>
      </c>
      <c r="U49" s="62">
        <f>ROUNDDOWN(11*$E$7/2000+473,0)</f>
        <v>473</v>
      </c>
      <c r="W49">
        <v>1450</v>
      </c>
      <c r="X49">
        <f>VLOOKUP(W49,$Z$48:$AA$77,2)</f>
        <v>1777</v>
      </c>
      <c r="Z49">
        <v>5</v>
      </c>
      <c r="AA49">
        <v>652</v>
      </c>
      <c r="AD49" s="34">
        <v>0</v>
      </c>
      <c r="AE49" s="34">
        <v>10000</v>
      </c>
      <c r="AF49" s="62">
        <f>ROUNDDOWN(223*$E$8/10000+361,0)</f>
        <v>361</v>
      </c>
      <c r="AG49" s="19"/>
      <c r="AH49" s="70">
        <v>0</v>
      </c>
      <c r="AI49" s="70">
        <v>10000</v>
      </c>
      <c r="AJ49" s="62">
        <f>ROUNDDOWN(78*$G$9/10000+547,0)</f>
        <v>547</v>
      </c>
      <c r="AK49" s="19"/>
      <c r="AL49" s="19">
        <v>90</v>
      </c>
      <c r="AM49" s="19">
        <v>118</v>
      </c>
      <c r="AO49" s="34">
        <v>0</v>
      </c>
      <c r="AP49" s="34">
        <v>5</v>
      </c>
      <c r="AQ49" s="72">
        <f>ROUNDDOWN(62*$G$18/5+510,0)</f>
        <v>510</v>
      </c>
      <c r="AS49" s="34">
        <v>0</v>
      </c>
      <c r="AT49" s="34">
        <v>10000</v>
      </c>
      <c r="AU49" s="62">
        <f>ROUNDDOWN(341*$G$12/10000+241,0)</f>
        <v>241</v>
      </c>
    </row>
    <row r="50" spans="19:47">
      <c r="S50" s="34">
        <v>12000</v>
      </c>
      <c r="T50" s="34">
        <v>15000</v>
      </c>
      <c r="U50" s="62">
        <f>ROUNDDOWN(14*$E$7/3000+483,0)</f>
        <v>483</v>
      </c>
      <c r="W50" t="s">
        <v>62</v>
      </c>
      <c r="Z50">
        <v>10</v>
      </c>
      <c r="AA50">
        <v>715</v>
      </c>
      <c r="AD50" s="34">
        <v>10000</v>
      </c>
      <c r="AE50" s="34">
        <v>12000</v>
      </c>
      <c r="AF50" s="62">
        <f>ROUNDDOWN(8*$E$8/2000+544,0)</f>
        <v>544</v>
      </c>
      <c r="AG50" s="19"/>
      <c r="AH50" s="70">
        <v>10000</v>
      </c>
      <c r="AI50" s="70">
        <v>12000</v>
      </c>
      <c r="AJ50" s="62">
        <f>ROUNDDOWN(6*$G$9/2000+595,0)</f>
        <v>595</v>
      </c>
      <c r="AK50" s="19"/>
      <c r="AL50" s="19">
        <v>91</v>
      </c>
      <c r="AM50" s="19">
        <v>127</v>
      </c>
      <c r="AO50" s="34">
        <v>5</v>
      </c>
      <c r="AP50" s="34">
        <v>10</v>
      </c>
      <c r="AQ50" s="72">
        <f>ROUNDDOWN(63*$G$18/5+509,0)</f>
        <v>509</v>
      </c>
      <c r="AS50" s="34">
        <v>10000</v>
      </c>
      <c r="AT50" s="34">
        <v>12000</v>
      </c>
      <c r="AU50" s="62">
        <f>ROUNDDOWN(16*$G$12/2000+502,0)</f>
        <v>502</v>
      </c>
    </row>
    <row r="51" spans="19:47">
      <c r="S51" s="34">
        <v>15000</v>
      </c>
      <c r="T51" s="34">
        <v>20000</v>
      </c>
      <c r="U51" s="62">
        <f>ROUNDDOWN(20*$E$7/5000+493,0)</f>
        <v>493</v>
      </c>
      <c r="W51" t="s">
        <v>62</v>
      </c>
      <c r="Z51">
        <v>15</v>
      </c>
      <c r="AA51">
        <v>777</v>
      </c>
      <c r="AD51" s="34">
        <v>12000</v>
      </c>
      <c r="AE51" s="34">
        <v>15000</v>
      </c>
      <c r="AF51" s="62">
        <f>ROUNDDOWN(11*$E$8/3000+548,0)</f>
        <v>548</v>
      </c>
      <c r="AG51" s="19"/>
      <c r="AH51" s="70">
        <v>12000</v>
      </c>
      <c r="AI51" s="70">
        <v>15000</v>
      </c>
      <c r="AJ51" s="62">
        <f>ROUNDDOWN(7*$G$9/3000+603,0)</f>
        <v>603</v>
      </c>
      <c r="AK51" s="19"/>
      <c r="AL51" s="19">
        <v>92</v>
      </c>
      <c r="AM51" s="19">
        <v>137</v>
      </c>
      <c r="AO51" s="34">
        <v>10</v>
      </c>
      <c r="AP51" s="34">
        <v>15</v>
      </c>
      <c r="AQ51" s="72">
        <f>ROUNDDOWN(62*$G$18/5+511,0)</f>
        <v>511</v>
      </c>
      <c r="AS51" s="34">
        <v>12000</v>
      </c>
      <c r="AT51" s="34">
        <v>15000</v>
      </c>
      <c r="AU51" s="62">
        <f>ROUNDDOWN(19*$G$12/3000+522,0)</f>
        <v>522</v>
      </c>
    </row>
    <row r="52" spans="19:47">
      <c r="S52" s="34">
        <v>20000</v>
      </c>
      <c r="T52" s="34">
        <v>25000</v>
      </c>
      <c r="U52" s="62">
        <f>ROUNDDOWN(16*$E$7/5000+509,0)</f>
        <v>509</v>
      </c>
      <c r="W52" t="s">
        <v>62</v>
      </c>
      <c r="Z52">
        <v>20</v>
      </c>
      <c r="AA52">
        <v>840</v>
      </c>
      <c r="AD52" s="34">
        <v>15000</v>
      </c>
      <c r="AE52" s="34">
        <v>20000</v>
      </c>
      <c r="AF52" s="62">
        <f>ROUNDDOWN(14*$E$8/5000+561,0)</f>
        <v>561</v>
      </c>
      <c r="AG52" s="19"/>
      <c r="AH52" s="70">
        <v>15000</v>
      </c>
      <c r="AI52" s="70">
        <v>20000</v>
      </c>
      <c r="AJ52" s="62">
        <f>ROUNDDOWN(11*$G$9/5000+605,0)</f>
        <v>605</v>
      </c>
      <c r="AK52" s="19"/>
      <c r="AL52" s="19">
        <v>93</v>
      </c>
      <c r="AM52" s="19">
        <v>146</v>
      </c>
      <c r="AO52" s="34">
        <v>15</v>
      </c>
      <c r="AP52" s="34">
        <v>20</v>
      </c>
      <c r="AQ52" s="72">
        <f>ROUNDDOWN(63*$G$18/5+508,0)</f>
        <v>508</v>
      </c>
      <c r="AS52" s="34">
        <v>15000</v>
      </c>
      <c r="AT52" s="34">
        <v>20000</v>
      </c>
      <c r="AU52" s="62">
        <f>ROUNDDOWN(28*$G$12/5000+533,0)</f>
        <v>533</v>
      </c>
    </row>
    <row r="53" spans="19:47">
      <c r="S53" s="34">
        <v>25000</v>
      </c>
      <c r="T53" s="34">
        <v>30000</v>
      </c>
      <c r="U53" s="62">
        <f>ROUNDDOWN(13*$E$7/5000+524,0)</f>
        <v>524</v>
      </c>
      <c r="Z53">
        <v>30</v>
      </c>
      <c r="AA53">
        <v>902</v>
      </c>
      <c r="AD53" s="34">
        <v>20000</v>
      </c>
      <c r="AE53" s="34">
        <v>25000</v>
      </c>
      <c r="AF53" s="62">
        <f>ROUNDDOWN(12*$E$8/5000+569,0)</f>
        <v>569</v>
      </c>
      <c r="AG53" s="19"/>
      <c r="AH53" s="70">
        <v>20000</v>
      </c>
      <c r="AI53" s="70">
        <v>25000</v>
      </c>
      <c r="AJ53" s="62">
        <f>ROUNDDOWN(10*$G$9/5000+609,0)</f>
        <v>609</v>
      </c>
      <c r="AK53" s="19"/>
      <c r="AL53" s="19">
        <v>94</v>
      </c>
      <c r="AM53" s="19">
        <v>155</v>
      </c>
      <c r="AO53" s="34">
        <v>20</v>
      </c>
      <c r="AP53" s="34">
        <v>30</v>
      </c>
      <c r="AQ53" s="72">
        <f>ROUNDDOWN(62*$G$18/10+636,0)</f>
        <v>636</v>
      </c>
      <c r="AS53" s="34">
        <v>20000</v>
      </c>
      <c r="AT53" s="34">
        <v>25000</v>
      </c>
      <c r="AU53" s="62">
        <f>ROUNDDOWN(23*$G$12/5000+553,0)</f>
        <v>553</v>
      </c>
    </row>
    <row r="54" spans="19:47">
      <c r="S54" s="34">
        <v>30000</v>
      </c>
      <c r="T54" s="34">
        <v>40000</v>
      </c>
      <c r="U54" s="62">
        <f>ROUNDDOWN(24*$E$7/10000+530,0)</f>
        <v>530</v>
      </c>
      <c r="Z54">
        <v>40</v>
      </c>
      <c r="AA54">
        <v>965</v>
      </c>
      <c r="AD54" s="34">
        <v>25000</v>
      </c>
      <c r="AE54" s="34">
        <v>30000</v>
      </c>
      <c r="AF54" s="62">
        <f>ROUNDDOWN(10*$E$8/5000+579,0)</f>
        <v>579</v>
      </c>
      <c r="AG54" s="19"/>
      <c r="AH54" s="70">
        <v>25000</v>
      </c>
      <c r="AI54" s="70">
        <v>30000</v>
      </c>
      <c r="AJ54" s="62">
        <f>ROUNDDOWN(8*$G$9/5000+619,0)</f>
        <v>619</v>
      </c>
      <c r="AK54" s="19"/>
      <c r="AL54" s="19">
        <v>95</v>
      </c>
      <c r="AM54" s="19">
        <v>164</v>
      </c>
      <c r="AO54" s="34">
        <v>30</v>
      </c>
      <c r="AP54" s="34">
        <v>40</v>
      </c>
      <c r="AQ54" s="72">
        <f>ROUNDDOWN(63*$G$18/10+633,0)</f>
        <v>633</v>
      </c>
      <c r="AS54" s="34">
        <v>25000</v>
      </c>
      <c r="AT54" s="34">
        <v>30000</v>
      </c>
      <c r="AU54" s="62">
        <f>ROUNDDOWN(19*$G$12/5000+573,0)</f>
        <v>573</v>
      </c>
    </row>
    <row r="55" spans="19:47">
      <c r="S55" s="34">
        <v>40000</v>
      </c>
      <c r="T55" s="34">
        <v>50000</v>
      </c>
      <c r="U55" s="62">
        <f>ROUNDDOWN(19*$E$7/10000+550,0)</f>
        <v>550</v>
      </c>
      <c r="Z55">
        <v>50</v>
      </c>
      <c r="AA55">
        <v>1028</v>
      </c>
      <c r="AD55" s="34">
        <v>30000</v>
      </c>
      <c r="AE55" s="34">
        <v>40000</v>
      </c>
      <c r="AF55" s="62">
        <f>ROUNDDOWN(16*$E$8/10000+591,0)</f>
        <v>591</v>
      </c>
      <c r="AG55" s="19"/>
      <c r="AH55" s="70">
        <v>30000</v>
      </c>
      <c r="AI55" s="70">
        <v>40000</v>
      </c>
      <c r="AJ55" s="62">
        <f>ROUNDDOWN(15*$G$9/10000+622,0)</f>
        <v>622</v>
      </c>
      <c r="AK55" s="19"/>
      <c r="AL55" s="19">
        <v>96</v>
      </c>
      <c r="AM55" s="19">
        <v>174</v>
      </c>
      <c r="AO55" s="34">
        <v>40</v>
      </c>
      <c r="AP55" s="34">
        <v>50</v>
      </c>
      <c r="AQ55" s="72">
        <f>ROUNDDOWN(63*$G$18/10+633,0)</f>
        <v>633</v>
      </c>
      <c r="AS55" s="34">
        <v>30000</v>
      </c>
      <c r="AT55" s="34">
        <v>40000</v>
      </c>
      <c r="AU55" s="62">
        <f>ROUNDDOWN(31*$G$12/10000+594,0)</f>
        <v>594</v>
      </c>
    </row>
    <row r="56" spans="19:47">
      <c r="S56" s="34">
        <v>50000</v>
      </c>
      <c r="T56" s="34">
        <v>60000</v>
      </c>
      <c r="U56" s="62">
        <f>ROUNDDOWN(16*$E$7/10000+565,0)</f>
        <v>565</v>
      </c>
      <c r="Z56">
        <v>65</v>
      </c>
      <c r="AA56">
        <v>1090</v>
      </c>
      <c r="AD56" s="34">
        <v>40000</v>
      </c>
      <c r="AE56" s="34">
        <v>50000</v>
      </c>
      <c r="AF56" s="62">
        <f>ROUNDDOWN(14*$E$8/10000+599,0)</f>
        <v>599</v>
      </c>
      <c r="AG56" s="19"/>
      <c r="AH56" s="70">
        <v>40000</v>
      </c>
      <c r="AI56" s="70">
        <v>50000</v>
      </c>
      <c r="AJ56" s="62">
        <f>ROUNDDOWN(12*$G$9/10000+634,0)</f>
        <v>634</v>
      </c>
      <c r="AK56" s="19"/>
      <c r="AL56" s="19">
        <v>97</v>
      </c>
      <c r="AM56" s="19">
        <v>183</v>
      </c>
      <c r="AO56" s="34">
        <v>50</v>
      </c>
      <c r="AP56" s="34">
        <v>65</v>
      </c>
      <c r="AQ56" s="72">
        <f>ROUNDDOWN(62*$G$18/15+742,0)</f>
        <v>742</v>
      </c>
      <c r="AS56" s="34">
        <v>40000</v>
      </c>
      <c r="AT56" s="34">
        <v>50000</v>
      </c>
      <c r="AU56" s="62">
        <f>ROUNDDOWN(27*$G$12/10000+610,0)</f>
        <v>610</v>
      </c>
    </row>
    <row r="57" spans="19:47">
      <c r="S57" s="34">
        <v>60000</v>
      </c>
      <c r="T57" s="34">
        <v>80000</v>
      </c>
      <c r="U57" s="62">
        <f>ROUNDDOWN(28*$E$7/20000+577,0)</f>
        <v>577</v>
      </c>
      <c r="Z57">
        <v>85</v>
      </c>
      <c r="AA57">
        <v>1152</v>
      </c>
      <c r="AD57" s="34">
        <v>50000</v>
      </c>
      <c r="AE57" s="34">
        <v>60000</v>
      </c>
      <c r="AF57" s="62">
        <f>ROUNDDOWN(11*$E$8/10000+614,0)</f>
        <v>614</v>
      </c>
      <c r="AG57" s="19"/>
      <c r="AH57" s="70">
        <v>50000</v>
      </c>
      <c r="AI57" s="70">
        <v>60000</v>
      </c>
      <c r="AJ57" s="62">
        <f>ROUNDDOWN(12*$G$9/10000+634,0)</f>
        <v>634</v>
      </c>
      <c r="AK57" s="19"/>
      <c r="AL57" s="19">
        <v>98</v>
      </c>
      <c r="AM57" s="19">
        <v>192</v>
      </c>
      <c r="AO57" s="34">
        <v>65</v>
      </c>
      <c r="AP57" s="34">
        <v>85</v>
      </c>
      <c r="AQ57" s="72">
        <f>ROUNDDOWN(62*$G$18/20+810,0)</f>
        <v>810</v>
      </c>
      <c r="AS57" s="34">
        <v>50000</v>
      </c>
      <c r="AT57" s="34">
        <v>60000</v>
      </c>
      <c r="AU57" s="62">
        <f>ROUNDDOWN(22*$G$12/10000+635,0)</f>
        <v>635</v>
      </c>
    </row>
    <row r="58" spans="19:47">
      <c r="S58" s="34">
        <v>80000</v>
      </c>
      <c r="T58" s="34">
        <v>100000</v>
      </c>
      <c r="U58" s="62">
        <f>ROUNDDOWN(22*$E$7/20000+601,0)</f>
        <v>601</v>
      </c>
      <c r="Z58">
        <v>110</v>
      </c>
      <c r="AA58">
        <v>1215</v>
      </c>
      <c r="AD58" s="34">
        <v>60000</v>
      </c>
      <c r="AE58" s="34">
        <v>80000</v>
      </c>
      <c r="AF58" s="62">
        <f>ROUNDDOWN(19*$E$8/20000+623,0)</f>
        <v>623</v>
      </c>
      <c r="AG58" s="19"/>
      <c r="AH58" s="70">
        <v>60000</v>
      </c>
      <c r="AI58" s="70">
        <v>80000</v>
      </c>
      <c r="AJ58" s="62">
        <f>ROUNDDOWN(19*$G$9/20000+649,0)</f>
        <v>649</v>
      </c>
      <c r="AK58" s="19"/>
      <c r="AL58" s="19">
        <v>99</v>
      </c>
      <c r="AM58" s="19">
        <v>202</v>
      </c>
      <c r="AO58" s="34">
        <v>85</v>
      </c>
      <c r="AP58" s="34">
        <v>110</v>
      </c>
      <c r="AQ58" s="72">
        <f>ROUNDDOWN(63*$G$18/25+860,0)</f>
        <v>860</v>
      </c>
      <c r="AS58" s="34">
        <v>60000</v>
      </c>
      <c r="AT58" s="34">
        <v>80000</v>
      </c>
      <c r="AU58" s="62">
        <f>ROUNDDOWN(36*$G$12/20000+659,0)</f>
        <v>659</v>
      </c>
    </row>
    <row r="59" spans="19:47">
      <c r="S59" s="34">
        <v>100000</v>
      </c>
      <c r="T59" s="34">
        <v>120000</v>
      </c>
      <c r="U59" s="62">
        <f>ROUNDDOWN(19*$E$7/20000+616,0)</f>
        <v>616</v>
      </c>
      <c r="Z59">
        <v>140</v>
      </c>
      <c r="AA59">
        <v>1278</v>
      </c>
      <c r="AD59" s="34">
        <v>80000</v>
      </c>
      <c r="AE59" s="34">
        <v>100000</v>
      </c>
      <c r="AF59" s="62">
        <f>ROUNDDOWN(16*$E$8/20000+635,0)</f>
        <v>635</v>
      </c>
      <c r="AG59" s="19"/>
      <c r="AH59" s="70">
        <v>80000</v>
      </c>
      <c r="AI59" s="70">
        <v>100000</v>
      </c>
      <c r="AJ59" s="62">
        <f>ROUNDDOWN(16*$G$9/20000+661,0)</f>
        <v>661</v>
      </c>
      <c r="AK59" s="19"/>
      <c r="AL59" s="19">
        <v>100</v>
      </c>
      <c r="AM59" s="19">
        <v>211</v>
      </c>
      <c r="AO59" s="34">
        <v>110</v>
      </c>
      <c r="AP59" s="34">
        <v>140</v>
      </c>
      <c r="AQ59" s="72">
        <f>ROUNDDOWN(63*$G$18/30+907,0)</f>
        <v>907</v>
      </c>
      <c r="AS59" s="34">
        <v>80000</v>
      </c>
      <c r="AT59" s="34">
        <v>100000</v>
      </c>
      <c r="AU59" s="62">
        <f>ROUNDDOWN(29*$G$12/20000+687,0)</f>
        <v>687</v>
      </c>
    </row>
    <row r="60" spans="19:47">
      <c r="S60" s="34">
        <v>120000</v>
      </c>
      <c r="T60" s="34">
        <v>150000</v>
      </c>
      <c r="U60" s="62">
        <f>ROUNDDOWN(26*$E$7/30000+626,0)</f>
        <v>626</v>
      </c>
      <c r="Z60">
        <v>180</v>
      </c>
      <c r="AA60">
        <v>1340</v>
      </c>
      <c r="AD60" s="34">
        <v>100000</v>
      </c>
      <c r="AE60" s="34">
        <v>120000</v>
      </c>
      <c r="AF60" s="62">
        <f>ROUNDDOWN(13*$E$8/20000+650,0)</f>
        <v>650</v>
      </c>
      <c r="AG60" s="19"/>
      <c r="AH60" s="70">
        <v>100000</v>
      </c>
      <c r="AI60" s="70">
        <v>120000</v>
      </c>
      <c r="AJ60" s="62">
        <f>ROUNDDOWN(15*$G$9/20000+666,0)</f>
        <v>666</v>
      </c>
      <c r="AK60" s="19"/>
      <c r="AL60" s="19">
        <v>101</v>
      </c>
      <c r="AM60" s="19">
        <v>220</v>
      </c>
      <c r="AO60" s="34">
        <v>140</v>
      </c>
      <c r="AP60" s="34">
        <v>180</v>
      </c>
      <c r="AQ60" s="72">
        <f>ROUNDDOWN(62*$G$18/40+984,0)</f>
        <v>984</v>
      </c>
      <c r="AS60" s="34">
        <v>100000</v>
      </c>
      <c r="AT60" s="34">
        <v>120000</v>
      </c>
      <c r="AU60" s="62">
        <f>ROUNDDOWN(26*$G$12/20000+702,0)</f>
        <v>702</v>
      </c>
    </row>
    <row r="61" spans="19:47">
      <c r="S61" s="34">
        <v>150000</v>
      </c>
      <c r="T61" s="34">
        <v>200000</v>
      </c>
      <c r="U61" s="62">
        <f>ROUNDDOWN(34*$E$7/50000+654,0)</f>
        <v>654</v>
      </c>
      <c r="Z61">
        <v>230</v>
      </c>
      <c r="AA61">
        <v>1402</v>
      </c>
      <c r="AD61" s="34">
        <v>120000</v>
      </c>
      <c r="AE61" s="34">
        <v>150000</v>
      </c>
      <c r="AF61" s="62">
        <f>ROUNDDOWN(16*$E$8/30000+664,0)</f>
        <v>664</v>
      </c>
      <c r="AG61" s="19"/>
      <c r="AH61" s="70">
        <v>120000</v>
      </c>
      <c r="AI61" s="70">
        <v>150000</v>
      </c>
      <c r="AJ61" s="62">
        <f>ROUNDDOWN(20*$G$9/30000+676,0)</f>
        <v>676</v>
      </c>
      <c r="AK61" s="19"/>
      <c r="AL61" s="19">
        <v>102</v>
      </c>
      <c r="AM61" s="19">
        <v>229</v>
      </c>
      <c r="AO61" s="34">
        <v>180</v>
      </c>
      <c r="AP61" s="34">
        <v>230</v>
      </c>
      <c r="AQ61" s="72">
        <f>ROUNDDOWN(62*$G$18/50+1040,0)</f>
        <v>1040</v>
      </c>
      <c r="AS61" s="34">
        <v>120000</v>
      </c>
      <c r="AT61" s="34">
        <v>150000</v>
      </c>
      <c r="AU61" s="62">
        <f>ROUNDDOWN(32*$G$12/30000+730,0)</f>
        <v>730</v>
      </c>
    </row>
    <row r="62" spans="19:47">
      <c r="S62" s="34">
        <v>200000</v>
      </c>
      <c r="T62" s="34">
        <v>250000</v>
      </c>
      <c r="U62" s="62">
        <f>ROUNDDOWN(28*$E$7/50000+678,0)</f>
        <v>678</v>
      </c>
      <c r="Z62">
        <v>300</v>
      </c>
      <c r="AA62">
        <v>1465</v>
      </c>
      <c r="AD62" s="34">
        <v>150000</v>
      </c>
      <c r="AE62" s="34">
        <v>200000</v>
      </c>
      <c r="AF62" s="62">
        <f>ROUNDDOWN(23*$E$8/50000+675,0)</f>
        <v>675</v>
      </c>
      <c r="AG62" s="19"/>
      <c r="AH62" s="70">
        <v>150000</v>
      </c>
      <c r="AI62" s="70">
        <v>200000</v>
      </c>
      <c r="AJ62" s="62">
        <f>ROUNDDOWN(27*$G$9/50000+695,0)</f>
        <v>695</v>
      </c>
      <c r="AK62" s="19"/>
      <c r="AL62" s="19">
        <v>103</v>
      </c>
      <c r="AM62" s="19">
        <v>239</v>
      </c>
      <c r="AO62" s="34">
        <v>230</v>
      </c>
      <c r="AP62" s="34">
        <v>300</v>
      </c>
      <c r="AQ62" s="72">
        <f>ROUNDDOWN(63*$G$18/70+1119,0)</f>
        <v>1119</v>
      </c>
      <c r="AS62" s="34">
        <v>150000</v>
      </c>
      <c r="AT62" s="34">
        <v>200000</v>
      </c>
      <c r="AU62" s="62">
        <f>ROUNDDOWN(45*$G$12/50000+755,0)</f>
        <v>755</v>
      </c>
    </row>
    <row r="63" spans="19:47">
      <c r="S63" s="34">
        <v>250000</v>
      </c>
      <c r="T63" s="34">
        <v>300000</v>
      </c>
      <c r="U63" s="62">
        <f>ROUNDDOWN(24*$E$7/50000+698,0)</f>
        <v>698</v>
      </c>
      <c r="Z63">
        <v>390</v>
      </c>
      <c r="AA63">
        <v>1527</v>
      </c>
      <c r="AD63" s="34">
        <v>200000</v>
      </c>
      <c r="AE63" s="34">
        <v>250000</v>
      </c>
      <c r="AF63" s="62">
        <f>ROUNDDOWN(19*$E$8/50000+691,0)</f>
        <v>691</v>
      </c>
      <c r="AG63" s="19"/>
      <c r="AH63" s="70">
        <v>200000</v>
      </c>
      <c r="AI63" s="70">
        <v>250000</v>
      </c>
      <c r="AJ63" s="62">
        <f>ROUNDDOWN(24*$G$9/50000+707,0)</f>
        <v>707</v>
      </c>
      <c r="AK63" s="19"/>
      <c r="AL63" s="19">
        <v>104</v>
      </c>
      <c r="AM63" s="19">
        <v>248</v>
      </c>
      <c r="AO63" s="34">
        <v>300</v>
      </c>
      <c r="AP63" s="34">
        <v>390</v>
      </c>
      <c r="AQ63" s="72">
        <f>ROUNDDOWN(62*$G$18/90+1183,0)</f>
        <v>1183</v>
      </c>
      <c r="AS63" s="34">
        <v>200000</v>
      </c>
      <c r="AT63" s="34">
        <v>250000</v>
      </c>
      <c r="AU63" s="62">
        <f>ROUNDDOWN(35*$G$12/50000+795,0)</f>
        <v>795</v>
      </c>
    </row>
    <row r="64" spans="19:47">
      <c r="S64" s="34">
        <v>300000</v>
      </c>
      <c r="T64" s="34">
        <v>400000</v>
      </c>
      <c r="U64" s="62">
        <f>ROUNDDOWN(42*$E$7/100000+716,0)</f>
        <v>716</v>
      </c>
      <c r="Z64">
        <v>510</v>
      </c>
      <c r="AA64">
        <v>1590</v>
      </c>
      <c r="AD64" s="34">
        <v>250000</v>
      </c>
      <c r="AE64" s="34">
        <v>300000</v>
      </c>
      <c r="AF64" s="62">
        <f>ROUNDDOWN(15*$E$8/50000+711,0)</f>
        <v>711</v>
      </c>
      <c r="AG64" s="19"/>
      <c r="AH64" s="70">
        <v>250000</v>
      </c>
      <c r="AI64" s="70">
        <v>300000</v>
      </c>
      <c r="AJ64" s="62">
        <f>ROUNDDOWN(21*$G$9/50000+722,0)</f>
        <v>722</v>
      </c>
      <c r="AK64" s="19"/>
      <c r="AL64" s="19">
        <v>105</v>
      </c>
      <c r="AM64" s="19">
        <v>257</v>
      </c>
      <c r="AO64" s="34">
        <v>390</v>
      </c>
      <c r="AP64" s="34">
        <v>510</v>
      </c>
      <c r="AQ64" s="72">
        <f>ROUNDDOWN(63*$G$18/120+1247,0)</f>
        <v>1247</v>
      </c>
      <c r="AS64" s="34">
        <v>250000</v>
      </c>
      <c r="AT64" s="34">
        <v>300000</v>
      </c>
      <c r="AU64" s="62">
        <f>ROUNDDOWN(30*$G$12/50000+820,0)</f>
        <v>820</v>
      </c>
    </row>
    <row r="65" spans="19:47">
      <c r="S65" s="34">
        <v>400000</v>
      </c>
      <c r="T65" s="34">
        <v>500000</v>
      </c>
      <c r="U65" s="62">
        <f>ROUNDDOWN(34*$E$7/100000+748,0)</f>
        <v>748</v>
      </c>
      <c r="Z65">
        <v>670</v>
      </c>
      <c r="AA65">
        <v>1652</v>
      </c>
      <c r="AD65" s="34">
        <v>300000</v>
      </c>
      <c r="AE65" s="34">
        <v>400000</v>
      </c>
      <c r="AF65" s="62">
        <f>ROUNDDOWN(27*$E$8/100000+720,0)</f>
        <v>720</v>
      </c>
      <c r="AG65" s="19"/>
      <c r="AH65" s="70">
        <v>300000</v>
      </c>
      <c r="AI65" s="70">
        <v>400000</v>
      </c>
      <c r="AJ65" s="62">
        <f>ROUNDDOWN(37*$G$9/100000+737,0)</f>
        <v>737</v>
      </c>
      <c r="AK65" s="19"/>
      <c r="AL65" s="19">
        <v>106</v>
      </c>
      <c r="AM65" s="19">
        <v>267</v>
      </c>
      <c r="AO65" s="34">
        <v>510</v>
      </c>
      <c r="AP65" s="34">
        <v>670</v>
      </c>
      <c r="AQ65" s="72">
        <f>ROUNDDOWN(62*$G$18/160+1318,0)</f>
        <v>1318</v>
      </c>
      <c r="AS65" s="34">
        <v>300000</v>
      </c>
      <c r="AT65" s="34">
        <v>400000</v>
      </c>
      <c r="AU65" s="62">
        <f>ROUNDDOWN(51*$G$12/100000+847,0)</f>
        <v>847</v>
      </c>
    </row>
    <row r="66" spans="19:47">
      <c r="S66" s="34">
        <v>500000</v>
      </c>
      <c r="T66" s="34">
        <v>600000</v>
      </c>
      <c r="U66" s="62">
        <f>ROUNDDOWN(25*$E$7/100000+793,0)</f>
        <v>793</v>
      </c>
      <c r="Z66">
        <v>870</v>
      </c>
      <c r="AA66">
        <v>1715</v>
      </c>
      <c r="AD66" s="34">
        <v>400000</v>
      </c>
      <c r="AE66" s="34">
        <v>500000</v>
      </c>
      <c r="AF66" s="62">
        <f>ROUNDDOWN(21*$E$8/100000+744,0)</f>
        <v>744</v>
      </c>
      <c r="AG66" s="19"/>
      <c r="AH66" s="70">
        <v>400000</v>
      </c>
      <c r="AI66" s="70">
        <v>500000</v>
      </c>
      <c r="AJ66" s="62">
        <f>ROUNDDOWN(32*$G$9/100000+757,0)</f>
        <v>757</v>
      </c>
      <c r="AK66" s="19"/>
      <c r="AL66" s="19">
        <v>107</v>
      </c>
      <c r="AM66" s="19">
        <v>276</v>
      </c>
      <c r="AO66" s="34">
        <v>670</v>
      </c>
      <c r="AP66" s="34">
        <v>870</v>
      </c>
      <c r="AQ66" s="72">
        <f>ROUNDDOWN(63*$G$18/200+1367,0)</f>
        <v>1367</v>
      </c>
      <c r="AS66" s="34">
        <v>400000</v>
      </c>
      <c r="AT66" s="34">
        <v>500000</v>
      </c>
      <c r="AU66" s="62">
        <f>ROUNDDOWN(40*$G$12/100000+891,0)</f>
        <v>891</v>
      </c>
    </row>
    <row r="67" spans="19:47">
      <c r="S67" s="34">
        <v>600000</v>
      </c>
      <c r="T67" s="34">
        <v>800000</v>
      </c>
      <c r="U67" s="62">
        <f>ROUNDDOWN(25*$E$7/200000+868,0)</f>
        <v>868</v>
      </c>
      <c r="Z67">
        <v>1130</v>
      </c>
      <c r="AA67">
        <v>1777</v>
      </c>
      <c r="AD67" s="34">
        <v>500000</v>
      </c>
      <c r="AE67" s="34">
        <v>600000</v>
      </c>
      <c r="AF67" s="62">
        <f>ROUNDDOWN(18*$E$8/100000+759,0)</f>
        <v>759</v>
      </c>
      <c r="AG67" s="19"/>
      <c r="AH67" s="70">
        <v>500000</v>
      </c>
      <c r="AI67" s="70">
        <v>600000</v>
      </c>
      <c r="AJ67" s="62">
        <f>ROUNDDOWN(28*$G$9/100000+777,0)</f>
        <v>777</v>
      </c>
      <c r="AK67" s="19"/>
      <c r="AL67" s="19">
        <v>108</v>
      </c>
      <c r="AM67" s="19">
        <v>285</v>
      </c>
      <c r="AO67" s="34">
        <v>870</v>
      </c>
      <c r="AP67" s="34">
        <v>1130</v>
      </c>
      <c r="AQ67" s="72">
        <f>ROUNDDOWN(62*$G$18/260+1434,0)</f>
        <v>1434</v>
      </c>
      <c r="AS67" s="34">
        <v>500000</v>
      </c>
      <c r="AT67" s="34">
        <v>600000</v>
      </c>
      <c r="AU67" s="62">
        <f>ROUNDDOWN(36*$G$12/100000+911,0)</f>
        <v>911</v>
      </c>
    </row>
    <row r="68" spans="19:47">
      <c r="S68" s="34">
        <v>800000</v>
      </c>
      <c r="T68" s="34">
        <v>1000000</v>
      </c>
      <c r="U68" s="62">
        <f>ROUNDDOWN(38*$E$7/200000+816,0)</f>
        <v>816</v>
      </c>
      <c r="Z68">
        <v>1460</v>
      </c>
      <c r="AA68">
        <v>1840</v>
      </c>
      <c r="AD68" s="34">
        <v>600000</v>
      </c>
      <c r="AE68" s="34">
        <v>800000</v>
      </c>
      <c r="AF68" s="62">
        <f>ROUNDDOWN(30*$E$8/200000+777,0)</f>
        <v>777</v>
      </c>
      <c r="AG68" s="19"/>
      <c r="AH68" s="70">
        <v>600000</v>
      </c>
      <c r="AI68" s="70">
        <v>800000</v>
      </c>
      <c r="AJ68" s="62">
        <f>ROUNDDOWN(48*$G$9/200000+801,0)</f>
        <v>801</v>
      </c>
      <c r="AK68" s="19"/>
      <c r="AL68" s="19">
        <v>109</v>
      </c>
      <c r="AM68" s="19">
        <v>295</v>
      </c>
      <c r="AO68" s="34">
        <v>1130</v>
      </c>
      <c r="AP68" s="34">
        <v>1460</v>
      </c>
      <c r="AQ68" s="72">
        <f>ROUNDDOWN(63*$G$18/330+1488,0)</f>
        <v>1488</v>
      </c>
      <c r="AS68" s="34">
        <v>600000</v>
      </c>
      <c r="AT68" s="34">
        <v>800000</v>
      </c>
      <c r="AU68" s="62">
        <f>ROUNDDOWN(57*$G$12/200000+956,0)</f>
        <v>956</v>
      </c>
    </row>
    <row r="69" spans="19:47">
      <c r="S69" s="34">
        <v>1000000</v>
      </c>
      <c r="T69" s="34">
        <v>1200000</v>
      </c>
      <c r="U69" s="62">
        <f>ROUNDDOWN(39*$E$7/200000+811,0)</f>
        <v>811</v>
      </c>
      <c r="Z69">
        <v>1900</v>
      </c>
      <c r="AA69">
        <v>1903</v>
      </c>
      <c r="AD69" s="34">
        <v>800000</v>
      </c>
      <c r="AE69" s="34">
        <v>1000000</v>
      </c>
      <c r="AF69" s="62">
        <f>ROUNDDOWN(24*$E$8/200000+801,0)</f>
        <v>801</v>
      </c>
      <c r="AG69" s="19"/>
      <c r="AH69" s="70">
        <v>800000</v>
      </c>
      <c r="AI69" s="70">
        <v>1000000</v>
      </c>
      <c r="AJ69" s="62">
        <f>ROUNDDOWN(42*$G$9/200000+825,0)</f>
        <v>825</v>
      </c>
      <c r="AK69" s="19"/>
      <c r="AL69" s="19">
        <v>110</v>
      </c>
      <c r="AM69" s="19">
        <v>304</v>
      </c>
      <c r="AO69" s="34">
        <v>1460</v>
      </c>
      <c r="AP69" s="34">
        <v>1900</v>
      </c>
      <c r="AQ69" s="72">
        <f>ROUNDDOWN(63*$G$18/440+1558,0)</f>
        <v>1558</v>
      </c>
      <c r="AS69" s="34">
        <v>800000</v>
      </c>
      <c r="AT69" s="34">
        <v>1000000</v>
      </c>
      <c r="AU69" s="62">
        <f>ROUNDDOWN(47*$G$12/200000+996,0)</f>
        <v>996</v>
      </c>
    </row>
    <row r="70" spans="19:47">
      <c r="S70" s="34">
        <v>1200000</v>
      </c>
      <c r="T70" s="34">
        <v>1500000</v>
      </c>
      <c r="U70" s="62">
        <f>ROUNDDOWN(38*$E$7/300000+893,0)</f>
        <v>893</v>
      </c>
      <c r="Z70">
        <v>2470</v>
      </c>
      <c r="AA70">
        <v>1965</v>
      </c>
      <c r="AD70" s="34">
        <v>1000000</v>
      </c>
      <c r="AE70" s="34">
        <v>1200000</v>
      </c>
      <c r="AF70" s="62">
        <f>ROUNDDOWN(21*$E$8/200000+816,0)</f>
        <v>816</v>
      </c>
      <c r="AG70" s="19"/>
      <c r="AH70" s="70">
        <v>1000000</v>
      </c>
      <c r="AI70" s="70">
        <v>1200000</v>
      </c>
      <c r="AJ70" s="62">
        <f>ROUNDDOWN(37*$G$9/200000+850,0)</f>
        <v>850</v>
      </c>
      <c r="AK70" s="19"/>
      <c r="AL70" s="19">
        <v>111</v>
      </c>
      <c r="AM70" s="19">
        <v>313</v>
      </c>
      <c r="AO70" s="34">
        <v>1900</v>
      </c>
      <c r="AP70" s="34">
        <v>2470</v>
      </c>
      <c r="AQ70" s="72">
        <f>ROUNDDOWN(62*$G$18/570+1624,0)</f>
        <v>1624</v>
      </c>
      <c r="AS70" s="34">
        <v>1000000</v>
      </c>
      <c r="AT70" s="34">
        <v>1200000</v>
      </c>
      <c r="AU70" s="62">
        <f>ROUNDDOWN(41*$G$12/200000+1026,0)</f>
        <v>1026</v>
      </c>
    </row>
    <row r="71" spans="19:47">
      <c r="S71" s="34">
        <v>1500000</v>
      </c>
      <c r="T71" s="34">
        <v>2000000</v>
      </c>
      <c r="U71" s="62">
        <f>ROUNDDOWN(36*$E$7/500000+975,0)</f>
        <v>975</v>
      </c>
      <c r="Z71">
        <v>3210</v>
      </c>
      <c r="AA71">
        <v>2027</v>
      </c>
      <c r="AD71" s="34">
        <v>1200000</v>
      </c>
      <c r="AE71" s="34">
        <v>1500000</v>
      </c>
      <c r="AF71" s="62">
        <f>ROUNDDOWN(27*$E$8/300000+834,0)</f>
        <v>834</v>
      </c>
      <c r="AG71" s="19"/>
      <c r="AH71" s="70">
        <v>1200000</v>
      </c>
      <c r="AI71" s="70">
        <v>1500000</v>
      </c>
      <c r="AJ71" s="62">
        <f>ROUNDDOWN(48*$G$9/300000+880,0)</f>
        <v>880</v>
      </c>
      <c r="AK71" s="19"/>
      <c r="AL71" s="19">
        <v>112</v>
      </c>
      <c r="AM71" s="19">
        <v>322</v>
      </c>
      <c r="AO71" s="34">
        <v>2470</v>
      </c>
      <c r="AP71" s="34">
        <v>3210</v>
      </c>
      <c r="AQ71" s="72">
        <f>ROUNDDOWN(62*$G$18/740+1686,0)</f>
        <v>1686</v>
      </c>
      <c r="AS71" s="34">
        <v>1200000</v>
      </c>
      <c r="AT71" s="34">
        <v>1500000</v>
      </c>
      <c r="AU71" s="62">
        <f>ROUNDDOWN(50*$G$12/300000+1072,0)</f>
        <v>1072</v>
      </c>
    </row>
    <row r="72" spans="19:47">
      <c r="S72" s="34">
        <v>2000000</v>
      </c>
      <c r="T72" s="34">
        <v>2500000</v>
      </c>
      <c r="U72" s="62">
        <f>ROUNDDOWN(39*$E$7/500000+963,0)</f>
        <v>963</v>
      </c>
      <c r="Z72">
        <v>4180</v>
      </c>
      <c r="AA72">
        <v>2090</v>
      </c>
      <c r="AD72" s="34">
        <v>1500000</v>
      </c>
      <c r="AE72" s="34">
        <v>2000000</v>
      </c>
      <c r="AF72" s="62">
        <f>ROUNDDOWN(36*$E$8/500000+861,0)</f>
        <v>861</v>
      </c>
      <c r="AG72" s="19"/>
      <c r="AH72" s="70">
        <v>1500000</v>
      </c>
      <c r="AI72" s="70">
        <v>2000000</v>
      </c>
      <c r="AJ72" s="62">
        <f>ROUNDDOWN(70*$G$9/500000+910,0)</f>
        <v>910</v>
      </c>
      <c r="AK72" s="19"/>
      <c r="AL72" s="19">
        <v>113</v>
      </c>
      <c r="AM72" s="19">
        <v>332</v>
      </c>
      <c r="AO72" s="34">
        <v>3210</v>
      </c>
      <c r="AP72" s="34">
        <v>4180</v>
      </c>
      <c r="AQ72" s="72">
        <f>ROUNDDOWN(63*$G$18/970+1747,0)</f>
        <v>1747</v>
      </c>
      <c r="AS72" s="34">
        <v>1500000</v>
      </c>
      <c r="AT72" s="34">
        <v>2000000</v>
      </c>
      <c r="AU72" s="62">
        <f>ROUNDDOWN(70*$G$12/500000+1112,0)</f>
        <v>1112</v>
      </c>
    </row>
    <row r="73" spans="19:47">
      <c r="S73" s="34">
        <v>2500000</v>
      </c>
      <c r="T73" s="34">
        <v>3000000</v>
      </c>
      <c r="U73" s="62">
        <f>ROUNDDOWN(51*$E$7/500000+903,0)</f>
        <v>903</v>
      </c>
      <c r="Z73">
        <v>5430</v>
      </c>
      <c r="AA73">
        <v>2153</v>
      </c>
      <c r="AD73" s="34">
        <v>2000000</v>
      </c>
      <c r="AE73" s="34">
        <v>2500000</v>
      </c>
      <c r="AF73" s="62">
        <f>ROUNDDOWN(29*$E$8/500000+889,0)</f>
        <v>889</v>
      </c>
      <c r="AG73" s="19"/>
      <c r="AH73" s="70">
        <v>2000000</v>
      </c>
      <c r="AI73" s="70">
        <v>2500000</v>
      </c>
      <c r="AJ73" s="62">
        <f>ROUNDDOWN(60*$G$9/500000+950,0)</f>
        <v>950</v>
      </c>
      <c r="AK73" s="19"/>
      <c r="AL73" s="19">
        <v>114</v>
      </c>
      <c r="AM73" s="19">
        <v>341</v>
      </c>
      <c r="AO73" s="34">
        <v>4180</v>
      </c>
      <c r="AP73" s="34">
        <v>5430</v>
      </c>
      <c r="AQ73" s="72">
        <f>ROUNDDOWN(63*$G$18/1250+1808,0)</f>
        <v>1808</v>
      </c>
      <c r="AS73" s="34">
        <v>2000000</v>
      </c>
      <c r="AT73" s="34">
        <v>2500000</v>
      </c>
      <c r="AU73" s="62">
        <f>ROUNDDOWN(57*$G$12/500000+1164,0)</f>
        <v>1164</v>
      </c>
    </row>
    <row r="74" spans="19:47">
      <c r="S74" s="34">
        <v>3000000</v>
      </c>
      <c r="T74" s="34">
        <v>4000000</v>
      </c>
      <c r="U74" s="62">
        <f>ROUNDDOWN(50*$E$7/1000000+1059,0)</f>
        <v>1059</v>
      </c>
      <c r="Z74">
        <v>7060</v>
      </c>
      <c r="AA74">
        <v>2215</v>
      </c>
      <c r="AD74" s="34">
        <v>2500000</v>
      </c>
      <c r="AE74" s="34">
        <v>3000000</v>
      </c>
      <c r="AF74" s="62">
        <f>ROUNDDOWN(25*$E$8/500000+909,0)</f>
        <v>909</v>
      </c>
      <c r="AG74" s="19"/>
      <c r="AH74" s="70">
        <v>2500000</v>
      </c>
      <c r="AI74" s="70">
        <v>3000000</v>
      </c>
      <c r="AJ74" s="62">
        <f>ROUNDDOWN(54*$G$9/500000+980,0)</f>
        <v>980</v>
      </c>
      <c r="AK74" s="19"/>
      <c r="AL74" s="19">
        <v>115</v>
      </c>
      <c r="AM74" s="19">
        <v>350</v>
      </c>
      <c r="AO74" s="34">
        <v>5430</v>
      </c>
      <c r="AP74" s="34">
        <v>7060</v>
      </c>
      <c r="AQ74" s="72">
        <f>ROUNDDOWN(62*$G$18/1630+1876,0)</f>
        <v>1876</v>
      </c>
      <c r="AS74" s="34">
        <v>2500000</v>
      </c>
      <c r="AT74" s="34">
        <v>3000000</v>
      </c>
      <c r="AU74" s="62">
        <f>ROUNDDOWN(48*$G$12/500000+1209,0)</f>
        <v>1209</v>
      </c>
    </row>
    <row r="75" spans="19:47">
      <c r="S75" s="34">
        <v>4000000</v>
      </c>
      <c r="T75" s="34">
        <v>5000000</v>
      </c>
      <c r="U75" s="62">
        <f>ROUNDDOWN(51*$E$7/1000000+1055,0)</f>
        <v>1055</v>
      </c>
      <c r="Z75">
        <v>9180</v>
      </c>
      <c r="AA75">
        <v>2277</v>
      </c>
      <c r="AD75" s="34">
        <v>3000000</v>
      </c>
      <c r="AE75" s="34">
        <v>4000000</v>
      </c>
      <c r="AF75" s="62">
        <f>ROUNDDOWN(41*$E$8/1000000+936,0)</f>
        <v>936</v>
      </c>
      <c r="AG75" s="19"/>
      <c r="AH75" s="70">
        <v>3000000</v>
      </c>
      <c r="AI75" s="70">
        <v>4000000</v>
      </c>
      <c r="AJ75" s="62">
        <f>ROUNDDOWN(92*$G$9/1000000+1028,0)</f>
        <v>1028</v>
      </c>
      <c r="AK75" s="19"/>
      <c r="AL75" s="19">
        <v>116</v>
      </c>
      <c r="AM75" s="19">
        <v>360</v>
      </c>
      <c r="AO75" s="34">
        <v>7060</v>
      </c>
      <c r="AP75" s="34">
        <v>9180</v>
      </c>
      <c r="AQ75" s="72">
        <f>ROUNDDOWN(62*$G$18/2120+1939,0)</f>
        <v>1939</v>
      </c>
      <c r="AS75" s="34">
        <v>3000000</v>
      </c>
      <c r="AT75" s="34">
        <v>4000000</v>
      </c>
      <c r="AU75" s="62">
        <f>ROUNDDOWN(79*$G$12/1000000+1260,0)</f>
        <v>1260</v>
      </c>
    </row>
    <row r="76" spans="19:47">
      <c r="S76" s="34">
        <v>5000000</v>
      </c>
      <c r="T76" s="34">
        <v>6000000</v>
      </c>
      <c r="U76" s="62">
        <f>ROUNDDOWN(51*$E$7/1000000+1055,0)</f>
        <v>1055</v>
      </c>
      <c r="Z76">
        <v>11930</v>
      </c>
      <c r="AA76">
        <v>2340</v>
      </c>
      <c r="AD76" s="34">
        <v>4000000</v>
      </c>
      <c r="AE76" s="34">
        <v>5000000</v>
      </c>
      <c r="AF76" s="62">
        <f>ROUNDDOWN(34*$E$8/1000000+964,0)</f>
        <v>964</v>
      </c>
      <c r="AG76" s="19"/>
      <c r="AH76" s="70">
        <v>4000000</v>
      </c>
      <c r="AI76" s="70">
        <v>5000000</v>
      </c>
      <c r="AJ76" s="62">
        <f>ROUNDDOWN(79*$G$9/1000000+1080,0)</f>
        <v>1080</v>
      </c>
      <c r="AK76" s="19"/>
      <c r="AL76" s="19">
        <v>117</v>
      </c>
      <c r="AM76" s="19">
        <v>369</v>
      </c>
      <c r="AO76" s="34">
        <v>9180</v>
      </c>
      <c r="AP76" s="34">
        <v>11930</v>
      </c>
      <c r="AQ76" s="72">
        <f>ROUNDDOWN(63*$G$18/2750+1998,0)</f>
        <v>1998</v>
      </c>
      <c r="AS76" s="34">
        <v>4000000</v>
      </c>
      <c r="AT76" s="34">
        <v>5000000</v>
      </c>
      <c r="AU76" s="62">
        <f>ROUNDDOWN(66*$G$12/1000000+1312,0)</f>
        <v>1312</v>
      </c>
    </row>
    <row r="77" spans="19:47">
      <c r="S77" s="34">
        <v>6000000</v>
      </c>
      <c r="T77" s="34">
        <v>8000000</v>
      </c>
      <c r="U77" s="62">
        <f>ROUNDDOWN(50*$E$7/2000000+1211,0)</f>
        <v>1211</v>
      </c>
      <c r="Z77">
        <v>15500</v>
      </c>
      <c r="AA77">
        <v>2402</v>
      </c>
      <c r="AD77" s="34">
        <v>5000000</v>
      </c>
      <c r="AE77" s="34">
        <v>6000000</v>
      </c>
      <c r="AF77" s="62">
        <f>ROUNDDOWN(29*$E$8/1000000+989,0)</f>
        <v>989</v>
      </c>
      <c r="AG77" s="19"/>
      <c r="AH77" s="70">
        <v>5000000</v>
      </c>
      <c r="AI77" s="70">
        <v>6000000</v>
      </c>
      <c r="AJ77" s="62">
        <f>ROUNDDOWN(70*$G$9/1000000+1125,0)</f>
        <v>1125</v>
      </c>
      <c r="AK77" s="19"/>
      <c r="AL77" s="19">
        <v>118</v>
      </c>
      <c r="AM77" s="19">
        <v>378</v>
      </c>
      <c r="AO77" s="34">
        <v>11930</v>
      </c>
      <c r="AP77" s="34">
        <v>15500</v>
      </c>
      <c r="AQ77" s="72">
        <f>ROUNDDOWN(62*$G$18/3570+2065,0)</f>
        <v>2065</v>
      </c>
      <c r="AS77" s="34">
        <v>5000000</v>
      </c>
      <c r="AT77" s="34">
        <v>6000000</v>
      </c>
      <c r="AU77" s="62">
        <f>ROUNDDOWN(55*$G$12/1000000+1367,0)</f>
        <v>1367</v>
      </c>
    </row>
    <row r="78" spans="19:47">
      <c r="S78" s="34">
        <v>8000000</v>
      </c>
      <c r="T78" s="34">
        <v>10000000</v>
      </c>
      <c r="U78" s="62">
        <f>ROUNDDOWN(64*$E$7/2000000+1155,0)</f>
        <v>1155</v>
      </c>
      <c r="AD78" s="34">
        <v>6000000</v>
      </c>
      <c r="AE78" s="34">
        <v>8000000</v>
      </c>
      <c r="AF78" s="62">
        <f>ROUNDDOWN(47*$E$8/2000000+1022,0)</f>
        <v>1022</v>
      </c>
      <c r="AG78" s="19"/>
      <c r="AH78" s="70">
        <v>6000000</v>
      </c>
      <c r="AI78" s="70">
        <v>8000000</v>
      </c>
      <c r="AJ78" s="62">
        <f>ROUNDDOWN(122*$G$9/2000000+1179,0)</f>
        <v>1179</v>
      </c>
      <c r="AK78" s="19"/>
      <c r="AL78" s="19">
        <v>119</v>
      </c>
      <c r="AM78" s="19">
        <v>387</v>
      </c>
      <c r="AO78" s="34">
        <v>15500</v>
      </c>
      <c r="AP78" s="34">
        <v>0</v>
      </c>
      <c r="AQ78" s="72">
        <v>2335</v>
      </c>
      <c r="AS78" s="34">
        <v>6000000</v>
      </c>
      <c r="AT78" s="34">
        <v>8000000</v>
      </c>
      <c r="AU78" s="62">
        <f>ROUNDDOWN(92*$G$12/2000000+1421,0)</f>
        <v>1421</v>
      </c>
    </row>
    <row r="79" spans="19:47">
      <c r="S79" s="34">
        <v>10000000</v>
      </c>
      <c r="T79" s="34">
        <v>12000000</v>
      </c>
      <c r="U79" s="62">
        <f>ROUNDDOWN(62*$E$7/2000000+1165,0)</f>
        <v>1165</v>
      </c>
      <c r="AD79" s="34">
        <v>8000000</v>
      </c>
      <c r="AE79" s="34">
        <v>10000000</v>
      </c>
      <c r="AF79" s="62">
        <f>ROUNDDOWN(39*$E$8/2000000+1054,0)</f>
        <v>1054</v>
      </c>
      <c r="AG79" s="19"/>
      <c r="AH79" s="70">
        <v>8000000</v>
      </c>
      <c r="AI79" s="71">
        <v>10000000</v>
      </c>
      <c r="AJ79" s="62">
        <f>ROUNDDOWN(104*$G$9/2000000+1251,0)</f>
        <v>1251</v>
      </c>
      <c r="AK79" s="19"/>
      <c r="AL79" s="19">
        <v>120</v>
      </c>
      <c r="AM79" s="19">
        <v>397</v>
      </c>
      <c r="AS79" s="34">
        <v>8000000</v>
      </c>
      <c r="AT79" s="34">
        <v>10000000</v>
      </c>
      <c r="AU79" s="62">
        <f>ROUNDDOWN(75*$G$12/2000000+1489,0)</f>
        <v>1489</v>
      </c>
    </row>
    <row r="80" spans="19:47">
      <c r="S80" s="34">
        <v>12000000</v>
      </c>
      <c r="T80" s="34">
        <v>15000000</v>
      </c>
      <c r="U80" s="62">
        <f>ROUNDDOWN(64*$E$7/3000000+1281,0)</f>
        <v>1281</v>
      </c>
      <c r="AD80" s="34">
        <v>10000000</v>
      </c>
      <c r="AE80" s="34">
        <v>12000000</v>
      </c>
      <c r="AF80" s="62">
        <f>ROUNDDOWN(33*$E$8/2000000+1084,0)</f>
        <v>1084</v>
      </c>
      <c r="AG80" s="19"/>
      <c r="AH80" s="34">
        <v>10000000</v>
      </c>
      <c r="AI80" s="34">
        <v>12000000</v>
      </c>
      <c r="AJ80" s="62">
        <f>ROUNDDOWN(93*$G$9/2000000+1306,0)</f>
        <v>1306</v>
      </c>
      <c r="AK80" s="19"/>
      <c r="AL80" s="19">
        <v>121</v>
      </c>
      <c r="AM80" s="19">
        <v>406</v>
      </c>
      <c r="AS80" s="34">
        <v>10000000</v>
      </c>
      <c r="AT80" s="34">
        <v>12000000</v>
      </c>
      <c r="AU80" s="62">
        <f>ROUNDDOWN(63*$G$12/2000000+1549,0)</f>
        <v>1549</v>
      </c>
    </row>
    <row r="81" spans="19:47">
      <c r="S81" s="34">
        <v>15000000</v>
      </c>
      <c r="T81" s="34">
        <v>20000000</v>
      </c>
      <c r="U81" s="62">
        <f>ROUNDDOWN(76*$E$7/5000000+1373,0)</f>
        <v>1373</v>
      </c>
      <c r="AD81" s="34">
        <v>12000000</v>
      </c>
      <c r="AE81" s="34">
        <v>15000000</v>
      </c>
      <c r="AF81" s="62">
        <f>ROUNDDOWN(42*$E$8/3000000+1114,0)</f>
        <v>1114</v>
      </c>
      <c r="AG81" s="19"/>
      <c r="AH81" s="70">
        <v>12000000</v>
      </c>
      <c r="AI81" s="70">
        <v>15000000</v>
      </c>
      <c r="AJ81" s="62">
        <f>ROUNDDOWN(123*$G$9/3000000+1372,0)</f>
        <v>1372</v>
      </c>
      <c r="AK81" s="19"/>
      <c r="AL81" s="19">
        <v>122</v>
      </c>
      <c r="AM81" s="19">
        <v>415</v>
      </c>
      <c r="AS81" s="34">
        <v>12000000</v>
      </c>
      <c r="AT81" s="34">
        <v>15000000</v>
      </c>
      <c r="AU81" s="62">
        <f>ROUNDDOWN(81*$G$12/3000000+1603,0)</f>
        <v>1603</v>
      </c>
    </row>
    <row r="82" spans="19:47">
      <c r="S82" s="34">
        <v>20000000</v>
      </c>
      <c r="T82" s="34">
        <v>25000000</v>
      </c>
      <c r="U82" s="62">
        <f>ROUNDDOWN(76*$E$7/5000000+1373,0)</f>
        <v>1373</v>
      </c>
      <c r="AD82" s="34">
        <v>15000000</v>
      </c>
      <c r="AE82" s="34">
        <v>20000000</v>
      </c>
      <c r="AF82" s="62">
        <f>ROUNDDOWN(57*$E$8/5000000+1153,0)</f>
        <v>1153</v>
      </c>
      <c r="AG82" s="19"/>
      <c r="AH82" s="70">
        <v>15000000</v>
      </c>
      <c r="AI82" s="70">
        <v>20000000</v>
      </c>
      <c r="AJ82" s="62">
        <f>ROUNDDOWN(175*$G$9/5000000+1462,0)</f>
        <v>1462</v>
      </c>
      <c r="AK82" s="19"/>
      <c r="AL82" s="19">
        <v>123</v>
      </c>
      <c r="AM82" s="19">
        <v>425</v>
      </c>
      <c r="AS82" s="34">
        <v>15000000</v>
      </c>
      <c r="AT82" s="34">
        <v>20000000</v>
      </c>
      <c r="AU82" s="62">
        <f>ROUNDDOWN(110*$G$12/5000000+1678,0)</f>
        <v>1678</v>
      </c>
    </row>
    <row r="83" spans="19:47">
      <c r="S83" s="34">
        <v>25000000</v>
      </c>
      <c r="T83" s="34">
        <v>30000000</v>
      </c>
      <c r="U83" s="62">
        <f>ROUNDDOWN(75*$E$7/5000000+1378,0)</f>
        <v>1378</v>
      </c>
      <c r="AD83" s="34">
        <v>20000000</v>
      </c>
      <c r="AE83" s="34">
        <v>25000000</v>
      </c>
      <c r="AF83" s="62">
        <f>ROUNDDOWN(47*$E$8/5000000+1193,0)</f>
        <v>1193</v>
      </c>
      <c r="AG83" s="19"/>
      <c r="AH83" s="70">
        <v>20000000</v>
      </c>
      <c r="AI83" s="70">
        <v>25000000</v>
      </c>
      <c r="AJ83" s="62">
        <f>ROUNDDOWN(151*$G$9/5000000+1558,0)</f>
        <v>1558</v>
      </c>
      <c r="AK83" s="19"/>
      <c r="AL83" s="19">
        <v>124</v>
      </c>
      <c r="AM83" s="19">
        <v>434</v>
      </c>
      <c r="AS83" s="34">
        <v>20000000</v>
      </c>
      <c r="AT83" s="34">
        <v>25000000</v>
      </c>
      <c r="AU83" s="62">
        <f>ROUNDDOWN(90*$G$12/5000000+1758,0)</f>
        <v>1758</v>
      </c>
    </row>
    <row r="84" spans="19:47">
      <c r="S84" s="34">
        <v>30000000</v>
      </c>
      <c r="T84" s="34">
        <v>40000000</v>
      </c>
      <c r="U84" s="62">
        <f>ROUNDDOWN(89*$E$7/10000000+1561,0)</f>
        <v>1561</v>
      </c>
      <c r="AD84" s="34">
        <v>25000000</v>
      </c>
      <c r="AE84" s="34">
        <v>30000000</v>
      </c>
      <c r="AF84" s="62">
        <f>ROUNDDOWN(39*$E$8/5000000+1233,0)</f>
        <v>1233</v>
      </c>
      <c r="AG84" s="19"/>
      <c r="AH84" s="70">
        <v>25000000</v>
      </c>
      <c r="AI84" s="70">
        <v>30000000</v>
      </c>
      <c r="AJ84" s="62">
        <f>ROUNDDOWN(134*$G$9/5000000+1643,0)</f>
        <v>1643</v>
      </c>
      <c r="AK84" s="19"/>
      <c r="AL84" s="19">
        <v>125</v>
      </c>
      <c r="AM84" s="19">
        <v>443</v>
      </c>
      <c r="AS84" s="34">
        <v>25000000</v>
      </c>
      <c r="AT84" s="34">
        <v>30000000</v>
      </c>
      <c r="AU84" s="62">
        <f>ROUNDDOWN(76*$G$12/5000000+1828,0)</f>
        <v>1828</v>
      </c>
    </row>
    <row r="85" spans="19:47">
      <c r="S85" s="34">
        <v>40000000</v>
      </c>
      <c r="T85" s="34">
        <v>50000000</v>
      </c>
      <c r="U85" s="62">
        <f>ROUNDDOWN(89*$E$7/10000000+1561,0)</f>
        <v>1561</v>
      </c>
      <c r="AD85" s="34">
        <v>30000000</v>
      </c>
      <c r="AE85" s="34">
        <v>40000000</v>
      </c>
      <c r="AF85" s="62">
        <f>ROUNDDOWN(66*$E$8/10000000+1269,0)</f>
        <v>1269</v>
      </c>
      <c r="AG85" s="19"/>
      <c r="AH85" s="70">
        <v>30000000</v>
      </c>
      <c r="AI85" s="70">
        <v>0</v>
      </c>
      <c r="AJ85" s="62">
        <v>2447</v>
      </c>
      <c r="AK85" s="19"/>
      <c r="AL85" s="19">
        <v>126</v>
      </c>
      <c r="AM85" s="19">
        <v>453</v>
      </c>
      <c r="AS85" s="34">
        <v>30000000</v>
      </c>
      <c r="AT85" s="34">
        <v>40000000</v>
      </c>
      <c r="AU85" s="62">
        <f>ROUNDDOWN(126*$G$12/10000000+1906,0)</f>
        <v>1906</v>
      </c>
    </row>
    <row r="86" spans="19:47">
      <c r="S86" s="34">
        <v>50000000</v>
      </c>
      <c r="T86" s="34">
        <v>60000000</v>
      </c>
      <c r="U86" s="62">
        <f>ROUNDDOWN(88*$E$7/10000000+1566,0)</f>
        <v>1566</v>
      </c>
      <c r="AD86" s="34">
        <v>40000000</v>
      </c>
      <c r="AE86" s="34">
        <v>50000000</v>
      </c>
      <c r="AF86" s="62">
        <f>ROUNDDOWN(53*$E$8/10000000+1321,0)</f>
        <v>1321</v>
      </c>
      <c r="AG86" s="19"/>
      <c r="AH86" s="19"/>
      <c r="AI86" s="19"/>
      <c r="AJ86" s="19"/>
      <c r="AK86" s="19"/>
      <c r="AL86" s="19">
        <v>127</v>
      </c>
      <c r="AM86" s="19">
        <v>462</v>
      </c>
      <c r="AS86" s="34">
        <v>40000000</v>
      </c>
      <c r="AT86" s="34">
        <v>50000000</v>
      </c>
      <c r="AU86" s="62">
        <f>ROUNDDOWN(104*$G$12/10000000+1994,0)</f>
        <v>1994</v>
      </c>
    </row>
    <row r="87" spans="19:47">
      <c r="S87" s="34">
        <v>60000000</v>
      </c>
      <c r="T87" s="34">
        <v>80000000</v>
      </c>
      <c r="U87" s="62">
        <f>ROUNDDOWN(101*$E$7/20000000+1791,0)</f>
        <v>1791</v>
      </c>
      <c r="AD87" s="34">
        <v>50000000</v>
      </c>
      <c r="AE87" s="34">
        <v>60000000</v>
      </c>
      <c r="AF87" s="62">
        <f>ROUNDDOWN(46*$E$8/10000000+1356,0)</f>
        <v>1356</v>
      </c>
      <c r="AG87" s="19"/>
      <c r="AH87" s="19"/>
      <c r="AI87" s="19"/>
      <c r="AJ87" s="19"/>
      <c r="AK87" s="19"/>
      <c r="AL87" s="19">
        <v>128</v>
      </c>
      <c r="AM87" s="19">
        <v>471</v>
      </c>
      <c r="AS87" s="34">
        <v>50000000</v>
      </c>
      <c r="AT87" s="34">
        <v>60000000</v>
      </c>
      <c r="AU87" s="62">
        <f>ROUNDDOWN(87*$G$12/10000000+2079,0)</f>
        <v>2079</v>
      </c>
    </row>
    <row r="88" spans="19:47">
      <c r="S88" s="34">
        <v>80000000</v>
      </c>
      <c r="T88" s="34">
        <v>100000000</v>
      </c>
      <c r="U88" s="62">
        <f>ROUNDDOWN(114*$E$7/20000000+1739,0)</f>
        <v>1739</v>
      </c>
      <c r="AD88" s="34">
        <v>60000000</v>
      </c>
      <c r="AE88" s="34">
        <v>80000000</v>
      </c>
      <c r="AF88" s="62">
        <f>ROUNDDOWN(75*$E$8/20000000+1407,0)</f>
        <v>1407</v>
      </c>
      <c r="AG88" s="19"/>
      <c r="AH88" s="19"/>
      <c r="AI88" s="19"/>
      <c r="AJ88" s="19"/>
      <c r="AK88" s="19"/>
      <c r="AL88" s="19">
        <v>129</v>
      </c>
      <c r="AM88" s="19">
        <v>480</v>
      </c>
      <c r="AS88" s="34">
        <v>60000000</v>
      </c>
      <c r="AT88" s="34">
        <v>80000000</v>
      </c>
      <c r="AU88" s="62">
        <f>ROUNDDOWN(145*$G$12/20000000+2166,0)</f>
        <v>2166</v>
      </c>
    </row>
    <row r="89" spans="19:47">
      <c r="S89" s="34">
        <v>100000000</v>
      </c>
      <c r="T89" s="35" t="s">
        <v>63</v>
      </c>
      <c r="U89" s="62">
        <v>2309</v>
      </c>
      <c r="AD89" s="34">
        <v>80000000</v>
      </c>
      <c r="AE89" s="34">
        <v>100000000</v>
      </c>
      <c r="AF89" s="62">
        <f>ROUNDDOWN(61*$E$8/20000000+1463,0)</f>
        <v>1463</v>
      </c>
      <c r="AG89" s="19"/>
      <c r="AH89" s="19"/>
      <c r="AI89" s="19"/>
      <c r="AJ89" s="19"/>
      <c r="AK89" s="19"/>
      <c r="AL89" s="19">
        <v>130</v>
      </c>
      <c r="AM89" s="19">
        <v>490</v>
      </c>
      <c r="AS89" s="34">
        <v>80000000</v>
      </c>
      <c r="AT89" s="34">
        <v>100000000</v>
      </c>
      <c r="AU89" s="62">
        <f>ROUNDDOWN(119*$G$12/20000000+2270,0)</f>
        <v>2270</v>
      </c>
    </row>
    <row r="90" spans="19:47">
      <c r="S90" s="34"/>
      <c r="T90" s="34"/>
      <c r="U90" s="20"/>
      <c r="AD90" s="34">
        <v>100000000</v>
      </c>
      <c r="AE90" s="34">
        <v>120000000</v>
      </c>
      <c r="AF90" s="62">
        <f>ROUNDDOWN(53*$E$8/20000000+1503,0)</f>
        <v>1503</v>
      </c>
      <c r="AG90" s="19"/>
      <c r="AH90" s="19"/>
      <c r="AI90" s="19"/>
      <c r="AJ90" s="19"/>
      <c r="AK90" s="19"/>
      <c r="AL90" s="19">
        <v>131</v>
      </c>
      <c r="AM90" s="19">
        <v>499</v>
      </c>
      <c r="AS90" s="34">
        <v>100000000</v>
      </c>
      <c r="AT90" s="34">
        <v>0</v>
      </c>
      <c r="AU90" s="62">
        <v>2865</v>
      </c>
    </row>
    <row r="91" spans="19:47">
      <c r="S91" s="34"/>
      <c r="T91" s="34"/>
      <c r="U91" s="20"/>
      <c r="AD91" s="34">
        <v>120000000</v>
      </c>
      <c r="AE91" s="34">
        <v>150000000</v>
      </c>
      <c r="AF91" s="62">
        <f>ROUNDDOWN(66*$E$8/30000000+1557,0)</f>
        <v>1557</v>
      </c>
      <c r="AG91" s="19"/>
      <c r="AH91" s="19"/>
      <c r="AI91" s="19"/>
      <c r="AJ91" s="19"/>
      <c r="AK91" s="19"/>
      <c r="AL91" s="19">
        <v>132</v>
      </c>
      <c r="AM91" s="19">
        <v>508</v>
      </c>
    </row>
    <row r="92" spans="19:47">
      <c r="S92" s="34"/>
      <c r="U92" s="20"/>
      <c r="AD92" s="34">
        <v>150000000</v>
      </c>
      <c r="AE92" s="34">
        <v>200000000</v>
      </c>
      <c r="AF92" s="62">
        <f>ROUNDDOWN(91*$E$8/50000000+1614,0)</f>
        <v>1614</v>
      </c>
      <c r="AG92" s="19"/>
      <c r="AH92" s="19"/>
      <c r="AI92" s="19"/>
      <c r="AJ92" s="19"/>
      <c r="AK92" s="19"/>
      <c r="AL92" s="19">
        <v>133</v>
      </c>
      <c r="AM92" s="19">
        <v>518</v>
      </c>
    </row>
    <row r="93" spans="19:47">
      <c r="AD93" s="34">
        <v>200000000</v>
      </c>
      <c r="AE93" s="34">
        <v>250000000</v>
      </c>
      <c r="AF93" s="62">
        <f>ROUNDDOWN(73*$E$8/50000000+1686,0)</f>
        <v>1686</v>
      </c>
      <c r="AG93" s="19"/>
      <c r="AH93" s="19"/>
      <c r="AI93" s="19"/>
      <c r="AJ93" s="19"/>
      <c r="AK93" s="19"/>
      <c r="AL93" s="19">
        <v>134</v>
      </c>
      <c r="AM93" s="19">
        <v>527</v>
      </c>
    </row>
    <row r="94" spans="19:47">
      <c r="AD94" s="34">
        <v>250000000</v>
      </c>
      <c r="AE94" s="34">
        <v>300000000</v>
      </c>
      <c r="AF94" s="62">
        <f>ROUNDDOWN(63*$E$8/50000000+1736,0)</f>
        <v>1736</v>
      </c>
      <c r="AG94" s="19"/>
      <c r="AH94" s="19"/>
      <c r="AI94" s="19"/>
      <c r="AJ94" s="19"/>
      <c r="AK94" s="19"/>
      <c r="AL94" s="19">
        <v>135</v>
      </c>
      <c r="AM94" s="19">
        <v>536</v>
      </c>
    </row>
    <row r="95" spans="19:47">
      <c r="AD95" s="34">
        <v>300000000</v>
      </c>
      <c r="AE95" s="34"/>
      <c r="AF95" s="62">
        <v>2114</v>
      </c>
      <c r="AG95" s="19"/>
      <c r="AH95" s="19"/>
      <c r="AI95" s="19"/>
      <c r="AJ95" s="19"/>
      <c r="AK95" s="19"/>
      <c r="AL95" s="19">
        <v>136</v>
      </c>
      <c r="AM95" s="19">
        <v>545</v>
      </c>
    </row>
    <row r="96" spans="19:47">
      <c r="AF96" s="19"/>
      <c r="AG96" s="19"/>
      <c r="AH96" s="19"/>
      <c r="AI96" s="19"/>
      <c r="AJ96" s="19"/>
      <c r="AK96" s="19"/>
      <c r="AL96" s="19">
        <v>137</v>
      </c>
      <c r="AM96" s="19">
        <v>555</v>
      </c>
    </row>
    <row r="97" spans="32:39">
      <c r="AF97" s="19"/>
      <c r="AG97" s="19"/>
      <c r="AH97" s="19"/>
      <c r="AI97" s="19"/>
      <c r="AJ97" s="19"/>
      <c r="AK97" s="19"/>
      <c r="AL97" s="19">
        <v>138</v>
      </c>
      <c r="AM97" s="19">
        <v>564</v>
      </c>
    </row>
    <row r="98" spans="32:39">
      <c r="AF98" s="19"/>
      <c r="AG98" s="19"/>
      <c r="AH98" s="19"/>
      <c r="AI98" s="19"/>
      <c r="AJ98" s="19"/>
      <c r="AK98" s="19"/>
      <c r="AL98" s="19">
        <v>139</v>
      </c>
      <c r="AM98" s="19">
        <v>573</v>
      </c>
    </row>
    <row r="99" spans="32:39">
      <c r="AF99" s="19"/>
      <c r="AG99" s="19"/>
      <c r="AH99" s="19"/>
      <c r="AI99" s="19"/>
      <c r="AJ99" s="19"/>
      <c r="AK99" s="19"/>
      <c r="AL99" s="19">
        <v>140</v>
      </c>
      <c r="AM99" s="19">
        <v>583</v>
      </c>
    </row>
    <row r="100" spans="32:39">
      <c r="AF100" s="19"/>
      <c r="AG100" s="19"/>
      <c r="AH100" s="19"/>
      <c r="AI100" s="19"/>
      <c r="AJ100" s="19"/>
      <c r="AK100" s="19"/>
      <c r="AL100" s="19">
        <v>141</v>
      </c>
      <c r="AM100" s="19">
        <v>592</v>
      </c>
    </row>
    <row r="101" spans="32:39">
      <c r="AF101" s="19"/>
      <c r="AG101" s="19"/>
      <c r="AH101" s="19"/>
      <c r="AI101" s="19"/>
      <c r="AJ101" s="19"/>
      <c r="AK101" s="19"/>
      <c r="AL101" s="19">
        <v>142</v>
      </c>
      <c r="AM101" s="19">
        <v>601</v>
      </c>
    </row>
    <row r="102" spans="32:39">
      <c r="AF102" s="19"/>
      <c r="AG102" s="19"/>
      <c r="AH102" s="19"/>
      <c r="AI102" s="19"/>
      <c r="AJ102" s="19"/>
      <c r="AK102" s="19"/>
      <c r="AL102" s="19">
        <v>143</v>
      </c>
      <c r="AM102" s="19">
        <v>611</v>
      </c>
    </row>
    <row r="103" spans="32:39">
      <c r="AF103" s="19"/>
      <c r="AG103" s="19"/>
      <c r="AH103" s="19"/>
      <c r="AI103" s="19"/>
      <c r="AJ103" s="19"/>
      <c r="AK103" s="19"/>
      <c r="AL103" s="19">
        <v>144</v>
      </c>
      <c r="AM103" s="19">
        <v>620</v>
      </c>
    </row>
    <row r="104" spans="32:39">
      <c r="AF104" s="19"/>
      <c r="AG104" s="19"/>
      <c r="AH104" s="19"/>
      <c r="AI104" s="19"/>
      <c r="AJ104" s="19"/>
      <c r="AK104" s="19"/>
      <c r="AL104" s="19">
        <v>145</v>
      </c>
      <c r="AM104" s="19">
        <v>629</v>
      </c>
    </row>
    <row r="105" spans="32:39">
      <c r="AF105" s="19"/>
      <c r="AG105" s="19"/>
      <c r="AH105" s="19"/>
      <c r="AI105" s="19"/>
      <c r="AJ105" s="19"/>
      <c r="AK105" s="19"/>
      <c r="AL105" s="19">
        <v>146</v>
      </c>
      <c r="AM105" s="19">
        <v>638</v>
      </c>
    </row>
    <row r="106" spans="32:39">
      <c r="AF106" s="19"/>
      <c r="AG106" s="19"/>
      <c r="AH106" s="19"/>
      <c r="AI106" s="19"/>
      <c r="AJ106" s="19"/>
      <c r="AK106" s="19"/>
      <c r="AL106" s="19">
        <v>147</v>
      </c>
      <c r="AM106" s="19">
        <v>648</v>
      </c>
    </row>
    <row r="107" spans="32:39">
      <c r="AF107" s="19"/>
      <c r="AG107" s="19"/>
      <c r="AH107" s="19"/>
      <c r="AI107" s="19"/>
      <c r="AJ107" s="19"/>
      <c r="AK107" s="19"/>
      <c r="AL107" s="19">
        <v>148</v>
      </c>
      <c r="AM107" s="19">
        <v>657</v>
      </c>
    </row>
    <row r="108" spans="32:39">
      <c r="AF108" s="19"/>
      <c r="AG108" s="19"/>
      <c r="AH108" s="19"/>
      <c r="AI108" s="19"/>
      <c r="AJ108" s="19"/>
      <c r="AK108" s="19"/>
      <c r="AL108" s="19">
        <v>149</v>
      </c>
      <c r="AM108" s="19">
        <v>666</v>
      </c>
    </row>
    <row r="109" spans="32:39">
      <c r="AF109" s="19"/>
      <c r="AG109" s="19"/>
      <c r="AH109" s="19"/>
      <c r="AI109" s="19"/>
      <c r="AJ109" s="19"/>
      <c r="AK109" s="19"/>
      <c r="AL109" s="19">
        <v>150</v>
      </c>
      <c r="AM109" s="19">
        <v>676</v>
      </c>
    </row>
    <row r="110" spans="32:39">
      <c r="AF110" s="19"/>
      <c r="AG110" s="19"/>
      <c r="AH110" s="19"/>
      <c r="AI110" s="19"/>
      <c r="AJ110" s="19"/>
      <c r="AK110" s="19"/>
      <c r="AL110" s="19">
        <v>151</v>
      </c>
      <c r="AM110" s="19">
        <v>685</v>
      </c>
    </row>
    <row r="111" spans="32:39">
      <c r="AF111" s="19"/>
      <c r="AG111" s="19"/>
      <c r="AH111" s="19"/>
      <c r="AI111" s="19"/>
      <c r="AJ111" s="19"/>
      <c r="AK111" s="19"/>
      <c r="AL111" s="19">
        <v>152</v>
      </c>
      <c r="AM111" s="19">
        <v>694</v>
      </c>
    </row>
    <row r="112" spans="32:39">
      <c r="AF112" s="19"/>
      <c r="AG112" s="19"/>
      <c r="AH112" s="19"/>
      <c r="AI112" s="19"/>
      <c r="AJ112" s="19"/>
      <c r="AK112" s="19"/>
      <c r="AL112" s="19">
        <v>153</v>
      </c>
      <c r="AM112" s="19">
        <v>703</v>
      </c>
    </row>
    <row r="113" spans="32:39">
      <c r="AF113" s="19"/>
      <c r="AG113" s="19"/>
      <c r="AH113" s="19"/>
      <c r="AI113" s="19"/>
      <c r="AJ113" s="19"/>
      <c r="AK113" s="19"/>
      <c r="AL113" s="19">
        <v>154</v>
      </c>
      <c r="AM113" s="19">
        <v>713</v>
      </c>
    </row>
    <row r="114" spans="32:39">
      <c r="AF114" s="19"/>
      <c r="AG114" s="19"/>
      <c r="AH114" s="19"/>
      <c r="AI114" s="19"/>
      <c r="AJ114" s="19"/>
      <c r="AK114" s="19"/>
      <c r="AL114" s="19">
        <v>155</v>
      </c>
      <c r="AM114" s="19">
        <v>722</v>
      </c>
    </row>
    <row r="115" spans="32:39">
      <c r="AF115" s="19"/>
      <c r="AG115" s="19"/>
      <c r="AH115" s="19"/>
      <c r="AI115" s="19"/>
      <c r="AJ115" s="19"/>
      <c r="AK115" s="19"/>
      <c r="AL115" s="19">
        <v>156</v>
      </c>
      <c r="AM115" s="19">
        <v>731</v>
      </c>
    </row>
    <row r="116" spans="32:39">
      <c r="AF116" s="19"/>
      <c r="AG116" s="19"/>
      <c r="AH116" s="19"/>
      <c r="AI116" s="19"/>
      <c r="AJ116" s="19"/>
      <c r="AK116" s="19"/>
      <c r="AL116" s="19">
        <v>157</v>
      </c>
      <c r="AM116" s="19">
        <v>741</v>
      </c>
    </row>
    <row r="117" spans="32:39">
      <c r="AF117" s="19"/>
      <c r="AG117" s="19"/>
      <c r="AH117" s="19"/>
      <c r="AI117" s="19"/>
      <c r="AJ117" s="19"/>
      <c r="AK117" s="19"/>
      <c r="AL117" s="19">
        <v>158</v>
      </c>
      <c r="AM117" s="19">
        <v>750</v>
      </c>
    </row>
    <row r="118" spans="32:39">
      <c r="AF118" s="19"/>
      <c r="AG118" s="19"/>
      <c r="AH118" s="19"/>
      <c r="AI118" s="19"/>
      <c r="AJ118" s="19"/>
      <c r="AK118" s="19"/>
      <c r="AL118" s="19">
        <v>159</v>
      </c>
      <c r="AM118" s="19">
        <v>759</v>
      </c>
    </row>
    <row r="119" spans="32:39">
      <c r="AF119" s="19"/>
      <c r="AG119" s="19"/>
      <c r="AH119" s="19"/>
      <c r="AI119" s="19"/>
      <c r="AJ119" s="19"/>
      <c r="AK119" s="19"/>
      <c r="AL119" s="19">
        <v>160</v>
      </c>
      <c r="AM119" s="19">
        <v>768</v>
      </c>
    </row>
    <row r="120" spans="32:39">
      <c r="AF120" s="19"/>
      <c r="AG120" s="19"/>
      <c r="AH120" s="19"/>
      <c r="AI120" s="19"/>
      <c r="AJ120" s="19"/>
      <c r="AK120" s="19"/>
      <c r="AL120" s="19">
        <v>161</v>
      </c>
      <c r="AM120" s="19">
        <v>778</v>
      </c>
    </row>
    <row r="121" spans="32:39">
      <c r="AF121" s="19"/>
      <c r="AG121" s="19"/>
      <c r="AH121" s="19"/>
      <c r="AI121" s="19"/>
      <c r="AJ121" s="19"/>
      <c r="AK121" s="19"/>
      <c r="AL121" s="19">
        <v>162</v>
      </c>
      <c r="AM121" s="19">
        <v>787</v>
      </c>
    </row>
    <row r="122" spans="32:39">
      <c r="AF122" s="19"/>
      <c r="AG122" s="19"/>
      <c r="AH122" s="19"/>
      <c r="AI122" s="19"/>
      <c r="AJ122" s="19"/>
      <c r="AK122" s="19"/>
      <c r="AL122" s="19">
        <v>163</v>
      </c>
      <c r="AM122" s="19">
        <v>796</v>
      </c>
    </row>
    <row r="123" spans="32:39">
      <c r="AF123" s="19"/>
      <c r="AG123" s="19"/>
      <c r="AH123" s="19"/>
      <c r="AI123" s="19"/>
      <c r="AJ123" s="19"/>
      <c r="AK123" s="19"/>
      <c r="AL123" s="19">
        <v>164</v>
      </c>
      <c r="AM123" s="19">
        <v>806</v>
      </c>
    </row>
    <row r="124" spans="32:39">
      <c r="AF124" s="19"/>
      <c r="AG124" s="19"/>
      <c r="AH124" s="19"/>
      <c r="AI124" s="19"/>
      <c r="AJ124" s="19"/>
      <c r="AK124" s="19"/>
      <c r="AL124" s="19">
        <v>165</v>
      </c>
      <c r="AM124" s="19">
        <v>815</v>
      </c>
    </row>
    <row r="125" spans="32:39">
      <c r="AF125" s="19"/>
      <c r="AG125" s="19"/>
      <c r="AH125" s="19"/>
      <c r="AI125" s="19"/>
      <c r="AJ125" s="19"/>
      <c r="AK125" s="19"/>
      <c r="AL125" s="19">
        <v>166</v>
      </c>
      <c r="AM125" s="19">
        <v>824</v>
      </c>
    </row>
    <row r="126" spans="32:39">
      <c r="AF126" s="19"/>
      <c r="AG126" s="19"/>
      <c r="AH126" s="19"/>
      <c r="AI126" s="19"/>
      <c r="AJ126" s="19"/>
      <c r="AK126" s="19"/>
      <c r="AL126" s="19">
        <v>167</v>
      </c>
      <c r="AM126" s="19">
        <v>834</v>
      </c>
    </row>
    <row r="127" spans="32:39">
      <c r="AF127" s="19"/>
      <c r="AG127" s="19"/>
      <c r="AH127" s="19"/>
      <c r="AI127" s="19"/>
      <c r="AJ127" s="19"/>
      <c r="AK127" s="19"/>
      <c r="AL127" s="19">
        <v>168</v>
      </c>
      <c r="AM127" s="19">
        <v>843</v>
      </c>
    </row>
    <row r="128" spans="32:39">
      <c r="AF128" s="19"/>
      <c r="AG128" s="19"/>
      <c r="AH128" s="19"/>
      <c r="AI128" s="19"/>
      <c r="AJ128" s="19"/>
      <c r="AK128" s="19"/>
      <c r="AL128" s="19">
        <v>169</v>
      </c>
      <c r="AM128" s="19">
        <v>852</v>
      </c>
    </row>
    <row r="129" spans="32:39">
      <c r="AF129" s="19"/>
      <c r="AG129" s="19"/>
      <c r="AH129" s="19"/>
      <c r="AI129" s="19"/>
      <c r="AJ129" s="19"/>
      <c r="AK129" s="19"/>
      <c r="AL129" s="19">
        <v>170</v>
      </c>
      <c r="AM129" s="19">
        <v>861</v>
      </c>
    </row>
    <row r="130" spans="32:39">
      <c r="AF130" s="19"/>
      <c r="AG130" s="19"/>
      <c r="AH130" s="19"/>
      <c r="AI130" s="19"/>
      <c r="AJ130" s="19"/>
      <c r="AK130" s="19"/>
      <c r="AL130" s="19">
        <v>171</v>
      </c>
      <c r="AM130" s="19">
        <v>871</v>
      </c>
    </row>
    <row r="131" spans="32:39">
      <c r="AF131" s="19"/>
      <c r="AG131" s="19"/>
      <c r="AH131" s="19"/>
      <c r="AI131" s="19"/>
      <c r="AJ131" s="19"/>
      <c r="AK131" s="19"/>
      <c r="AL131" s="19">
        <v>172</v>
      </c>
      <c r="AM131" s="19">
        <v>880</v>
      </c>
    </row>
    <row r="132" spans="32:39">
      <c r="AF132" s="19"/>
      <c r="AG132" s="19"/>
      <c r="AH132" s="19"/>
      <c r="AI132" s="19"/>
      <c r="AJ132" s="19"/>
      <c r="AK132" s="19"/>
      <c r="AL132" s="19">
        <v>173</v>
      </c>
      <c r="AM132" s="19">
        <v>889</v>
      </c>
    </row>
    <row r="133" spans="32:39">
      <c r="AF133" s="19"/>
      <c r="AG133" s="19"/>
      <c r="AH133" s="19"/>
      <c r="AI133" s="19"/>
      <c r="AJ133" s="19"/>
      <c r="AK133" s="19"/>
      <c r="AL133" s="19">
        <v>174</v>
      </c>
      <c r="AM133" s="19">
        <v>899</v>
      </c>
    </row>
    <row r="134" spans="32:39">
      <c r="AF134" s="19"/>
      <c r="AG134" s="19"/>
      <c r="AH134" s="19"/>
      <c r="AI134" s="19"/>
      <c r="AJ134" s="19"/>
      <c r="AK134" s="19"/>
      <c r="AL134" s="19">
        <v>175</v>
      </c>
      <c r="AM134" s="19">
        <v>908</v>
      </c>
    </row>
    <row r="135" spans="32:39">
      <c r="AF135" s="19"/>
      <c r="AG135" s="19"/>
      <c r="AH135" s="19"/>
      <c r="AI135" s="19"/>
      <c r="AJ135" s="19"/>
      <c r="AK135" s="19"/>
      <c r="AL135" s="19">
        <v>176</v>
      </c>
      <c r="AM135" s="19">
        <v>917</v>
      </c>
    </row>
    <row r="136" spans="32:39">
      <c r="AF136" s="19"/>
      <c r="AG136" s="19"/>
      <c r="AH136" s="19"/>
      <c r="AI136" s="19"/>
      <c r="AJ136" s="19"/>
      <c r="AK136" s="19"/>
      <c r="AL136" s="19">
        <v>177</v>
      </c>
      <c r="AM136" s="19">
        <v>926</v>
      </c>
    </row>
    <row r="137" spans="32:39">
      <c r="AF137" s="19"/>
      <c r="AG137" s="19"/>
      <c r="AH137" s="19"/>
      <c r="AI137" s="19"/>
      <c r="AJ137" s="19"/>
      <c r="AK137" s="19"/>
      <c r="AL137" s="19">
        <v>178</v>
      </c>
      <c r="AM137" s="19">
        <v>936</v>
      </c>
    </row>
    <row r="138" spans="32:39">
      <c r="AF138" s="19"/>
      <c r="AG138" s="19"/>
      <c r="AH138" s="19"/>
      <c r="AI138" s="19"/>
      <c r="AJ138" s="19"/>
      <c r="AK138" s="19"/>
      <c r="AL138" s="19">
        <v>179</v>
      </c>
      <c r="AM138" s="19">
        <v>945</v>
      </c>
    </row>
    <row r="139" spans="32:39">
      <c r="AF139" s="19"/>
      <c r="AG139" s="19"/>
      <c r="AH139" s="19"/>
      <c r="AI139" s="19"/>
      <c r="AJ139" s="19"/>
      <c r="AK139" s="19"/>
      <c r="AL139" s="19">
        <v>180</v>
      </c>
      <c r="AM139" s="19">
        <v>954</v>
      </c>
    </row>
  </sheetData>
  <mergeCells count="30">
    <mergeCell ref="K5:L6"/>
    <mergeCell ref="C7:D7"/>
    <mergeCell ref="B5:B6"/>
    <mergeCell ref="C5:E6"/>
    <mergeCell ref="F5:F6"/>
    <mergeCell ref="G5:H6"/>
    <mergeCell ref="L8:L10"/>
    <mergeCell ref="C9:D9"/>
    <mergeCell ref="C10:D10"/>
    <mergeCell ref="B8:B10"/>
    <mergeCell ref="K8:K10"/>
    <mergeCell ref="I8:I10"/>
    <mergeCell ref="J8:J10"/>
    <mergeCell ref="I3:J3"/>
    <mergeCell ref="I5:J5"/>
    <mergeCell ref="C11:D11"/>
    <mergeCell ref="G11:H11"/>
    <mergeCell ref="C8:D8"/>
    <mergeCell ref="C20:D20"/>
    <mergeCell ref="G20:H20"/>
    <mergeCell ref="B21:J21"/>
    <mergeCell ref="K21:L21"/>
    <mergeCell ref="B12:B19"/>
    <mergeCell ref="C12:D12"/>
    <mergeCell ref="I12:I19"/>
    <mergeCell ref="J12:J19"/>
    <mergeCell ref="C13:C18"/>
    <mergeCell ref="C19:D19"/>
    <mergeCell ref="K12:K19"/>
    <mergeCell ref="L12:L19"/>
  </mergeCells>
  <phoneticPr fontId="3"/>
  <pageMargins left="0.75" right="0.75" top="1" bottom="1" header="0.51200000000000001" footer="0.51200000000000001"/>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様式４総括表</vt:lpstr>
      <vt:lpstr>希望１位</vt:lpstr>
      <vt:lpstr>希望２位</vt:lpstr>
      <vt:lpstr>希望３位</vt:lpstr>
      <vt:lpstr>希望１位!Print_Area</vt:lpstr>
      <vt:lpstr>希望２位!Print_Area</vt:lpstr>
      <vt:lpstr>希望３位!Print_Area</vt:lpstr>
      <vt:lpstr>様式４総括表!Print_Area</vt:lpstr>
    </vt:vector>
  </TitlesOfParts>
  <Company>福岡市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2021-12-02T01:34:11Z</cp:lastPrinted>
  <dcterms:created xsi:type="dcterms:W3CDTF">2006-12-12T09:38:03Z</dcterms:created>
  <dcterms:modified xsi:type="dcterms:W3CDTF">2021-12-02T01:35:01Z</dcterms:modified>
</cp:coreProperties>
</file>