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J:\20資格賦課\○01_共通\10_広報・広聴\令和７年度\02_HP\新年度賦課関係（６／１３公表予定）\保険料計算シート\"/>
    </mc:Choice>
  </mc:AlternateContent>
  <xr:revisionPtr revIDLastSave="0" documentId="13_ncr:1_{F6E9B842-F9C1-4850-A784-27D1C3A54688}" xr6:coauthVersionLast="47" xr6:coauthVersionMax="47" xr10:uidLastSave="{00000000-0000-0000-0000-000000000000}"/>
  <workbookProtection workbookAlgorithmName="SHA-512" workbookHashValue="B5N1n2epPXZTxRYwd6SCc87VTC4u8IFbEvgIERWhAfjo7KJ5E4dyKW1UUh+1uha+oc9ldi9Qbf76s2tUyjKeng==" workbookSaltValue="jxR/2R6DzuX2Lwj4IkMh9g==" workbookSpinCount="100000" lockStructure="1"/>
  <bookViews>
    <workbookView xWindow="-120" yWindow="-120" windowWidth="29040" windowHeight="15840" xr2:uid="{00000000-000D-0000-FFFF-FFFF00000000}"/>
  </bookViews>
  <sheets>
    <sheet name="試算シート" sheetId="1" r:id="rId1"/>
    <sheet name="計算の詳細" sheetId="2" r:id="rId2"/>
    <sheet name="★計算基準" sheetId="3" state="hidden" r:id="rId3"/>
    <sheet name="所得計算" sheetId="5" state="hidden" r:id="rId4"/>
    <sheet name="Sheet1" sheetId="4" state="veryHidden" r:id="rId5"/>
  </sheets>
  <definedNames>
    <definedName name="_xlnm._FilterDatabase" localSheetId="0" hidden="1">試算シート!$AN$9:$AN$14</definedName>
    <definedName name="_xlnm.Print_Area" localSheetId="1">計算の詳細!$A$1:$T$73</definedName>
    <definedName name="_xlnm.Print_Area" localSheetId="0">試算シート!$A$1:$AN$39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8" i="5" l="1"/>
  <c r="N41" i="3" l="1"/>
  <c r="M41" i="3"/>
  <c r="N40" i="3"/>
  <c r="M40" i="3"/>
  <c r="N39" i="3"/>
  <c r="N38" i="3"/>
  <c r="M38" i="3"/>
  <c r="M39" i="3" s="1"/>
  <c r="M37" i="3"/>
  <c r="O39" i="3" l="1"/>
  <c r="O38" i="3"/>
  <c r="D19" i="3"/>
  <c r="E18" i="3"/>
  <c r="D18" i="3"/>
  <c r="E20" i="3" l="1"/>
  <c r="E19" i="3" l="1"/>
  <c r="H36" i="3"/>
  <c r="H37" i="3"/>
  <c r="I11" i="1" l="1"/>
  <c r="L3" i="3"/>
  <c r="M36" i="3" l="1"/>
  <c r="N36" i="3" l="1"/>
  <c r="N37" i="3" s="1"/>
  <c r="O37" i="3" s="1"/>
  <c r="D30" i="2"/>
  <c r="D8" i="2"/>
  <c r="N40" i="2"/>
  <c r="H41" i="3"/>
  <c r="H40" i="3"/>
  <c r="H39" i="3"/>
  <c r="H38" i="3"/>
  <c r="O36" i="3" l="1"/>
  <c r="G11" i="1"/>
  <c r="E23" i="3" l="1"/>
  <c r="D57" i="2" s="1"/>
  <c r="E22" i="3"/>
  <c r="D56" i="2" s="1"/>
  <c r="E21" i="3"/>
  <c r="D55" i="2" s="1"/>
  <c r="D54" i="2"/>
  <c r="D53" i="2"/>
  <c r="D52" i="2"/>
  <c r="F67" i="2" l="1"/>
  <c r="F25" i="2"/>
  <c r="F47" i="2"/>
  <c r="H42" i="3" l="1"/>
  <c r="W38" i="1"/>
  <c r="P38" i="1"/>
  <c r="I38" i="1"/>
  <c r="B41" i="1" l="1"/>
  <c r="F18" i="2"/>
  <c r="K18" i="2"/>
  <c r="K40" i="2" s="1"/>
  <c r="G18" i="2"/>
  <c r="G40" i="2" s="1"/>
  <c r="L18" i="2"/>
  <c r="L40" i="2" s="1"/>
  <c r="J18" i="2"/>
  <c r="J40" i="2" s="1"/>
  <c r="O40" i="3" l="1"/>
  <c r="H31" i="3" s="1"/>
  <c r="O41" i="3"/>
  <c r="D20" i="3"/>
  <c r="D21" i="3"/>
  <c r="D22" i="3"/>
  <c r="D23" i="3"/>
  <c r="D34" i="2" l="1"/>
  <c r="D35" i="2"/>
  <c r="I15" i="1"/>
  <c r="D32" i="2"/>
  <c r="D10" i="2"/>
  <c r="I13" i="1"/>
  <c r="D31" i="2"/>
  <c r="D9" i="2"/>
  <c r="I17" i="1"/>
  <c r="D33" i="2"/>
  <c r="D11" i="2"/>
  <c r="I21" i="1"/>
  <c r="D13" i="2"/>
  <c r="I19" i="1"/>
  <c r="D12" i="2"/>
  <c r="L4" i="3"/>
  <c r="L8" i="3"/>
  <c r="L7" i="3"/>
  <c r="L6" i="3"/>
  <c r="L5" i="3"/>
  <c r="E24" i="3"/>
  <c r="D24" i="3"/>
  <c r="I23" i="3"/>
  <c r="I20" i="3"/>
  <c r="I22" i="3"/>
  <c r="I21" i="3"/>
  <c r="I19" i="3"/>
  <c r="D46" i="3" l="1"/>
  <c r="E46" i="3" l="1"/>
  <c r="I18" i="3"/>
  <c r="H73" i="5"/>
  <c r="H72" i="5"/>
  <c r="H71" i="5"/>
  <c r="H70" i="5"/>
  <c r="H69" i="5"/>
  <c r="F73" i="5"/>
  <c r="F72" i="5"/>
  <c r="F71" i="5"/>
  <c r="F70" i="5"/>
  <c r="G23" i="3" s="1"/>
  <c r="H23" i="3" s="1"/>
  <c r="F69" i="5"/>
  <c r="H60" i="5"/>
  <c r="H59" i="5"/>
  <c r="H58" i="5"/>
  <c r="H57" i="5"/>
  <c r="H56" i="5"/>
  <c r="F60" i="5"/>
  <c r="F59" i="5"/>
  <c r="F58" i="5"/>
  <c r="F57" i="5"/>
  <c r="G22" i="3" s="1"/>
  <c r="H22" i="3" s="1"/>
  <c r="F56" i="5"/>
  <c r="H47" i="5"/>
  <c r="H46" i="5"/>
  <c r="H45" i="5"/>
  <c r="H44" i="5"/>
  <c r="H43" i="5"/>
  <c r="F47" i="5"/>
  <c r="F46" i="5"/>
  <c r="F45" i="5"/>
  <c r="F44" i="5"/>
  <c r="G21" i="3" s="1"/>
  <c r="H21" i="3" s="1"/>
  <c r="F43" i="5"/>
  <c r="H34" i="5"/>
  <c r="H33" i="5"/>
  <c r="H32" i="5"/>
  <c r="H31" i="5"/>
  <c r="H30" i="5"/>
  <c r="F34" i="5"/>
  <c r="F33" i="5"/>
  <c r="F32" i="5"/>
  <c r="F31" i="5"/>
  <c r="F30" i="5"/>
  <c r="H21" i="5"/>
  <c r="H20" i="5"/>
  <c r="H19" i="5"/>
  <c r="H18" i="5"/>
  <c r="H17" i="5"/>
  <c r="F21" i="5"/>
  <c r="F20" i="5"/>
  <c r="F19" i="5"/>
  <c r="F18" i="5"/>
  <c r="F17" i="5"/>
  <c r="H4" i="5"/>
  <c r="F4" i="5"/>
  <c r="G19" i="3" l="1"/>
  <c r="H19" i="3" s="1"/>
  <c r="I24" i="3"/>
  <c r="G20" i="3"/>
  <c r="H20" i="3" s="1"/>
  <c r="C37" i="3"/>
  <c r="H8" i="5"/>
  <c r="H7" i="5"/>
  <c r="H6" i="5"/>
  <c r="H5" i="5"/>
  <c r="F8" i="5"/>
  <c r="F7" i="5"/>
  <c r="F6" i="5"/>
  <c r="F5" i="5"/>
  <c r="G18" i="3" s="1"/>
  <c r="H18" i="3" s="1"/>
  <c r="C78" i="5"/>
  <c r="C77" i="5"/>
  <c r="C76" i="5"/>
  <c r="C75" i="5"/>
  <c r="C74" i="5"/>
  <c r="C69" i="5"/>
  <c r="M8" i="3" s="1"/>
  <c r="N8" i="3" s="1"/>
  <c r="P8" i="3" s="1"/>
  <c r="J8" i="3" s="1"/>
  <c r="C65" i="5"/>
  <c r="C64" i="5"/>
  <c r="C63" i="5"/>
  <c r="C62" i="5"/>
  <c r="C61" i="5"/>
  <c r="C56" i="5"/>
  <c r="C52" i="5"/>
  <c r="C51" i="5"/>
  <c r="C50" i="5"/>
  <c r="C49" i="5"/>
  <c r="C43" i="5"/>
  <c r="C39" i="5"/>
  <c r="C38" i="5"/>
  <c r="C37" i="5"/>
  <c r="C36" i="5"/>
  <c r="C35" i="5"/>
  <c r="C30" i="5"/>
  <c r="C26" i="5"/>
  <c r="C25" i="5"/>
  <c r="C24" i="5"/>
  <c r="C23" i="5"/>
  <c r="C22" i="5"/>
  <c r="C17" i="5"/>
  <c r="C13" i="5"/>
  <c r="C12" i="5"/>
  <c r="C11" i="5"/>
  <c r="C10" i="5"/>
  <c r="C9" i="5"/>
  <c r="C4" i="5"/>
  <c r="O8" i="3" l="1"/>
  <c r="Q8" i="3" s="1"/>
  <c r="H24" i="3"/>
  <c r="G24" i="3"/>
  <c r="M7" i="3"/>
  <c r="M6" i="3"/>
  <c r="O6" i="3" s="1"/>
  <c r="Q6" i="3" s="1"/>
  <c r="M4" i="3"/>
  <c r="O4" i="3" s="1"/>
  <c r="Q4" i="3" s="1"/>
  <c r="M5" i="3"/>
  <c r="O5" i="3" s="1"/>
  <c r="Q5" i="3" s="1"/>
  <c r="M3" i="3"/>
  <c r="R8" i="3"/>
  <c r="C35" i="3"/>
  <c r="N7" i="3" l="1"/>
  <c r="P7" i="3" s="1"/>
  <c r="R7" i="3" s="1"/>
  <c r="O7" i="3"/>
  <c r="Q7" i="3" s="1"/>
  <c r="N3" i="3"/>
  <c r="O3" i="3"/>
  <c r="Q3" i="3" s="1"/>
  <c r="F23" i="3"/>
  <c r="N4" i="3"/>
  <c r="P4" i="3" s="1"/>
  <c r="J4" i="3" s="1"/>
  <c r="N6" i="3"/>
  <c r="P6" i="3" s="1"/>
  <c r="J6" i="3" s="1"/>
  <c r="N5" i="3"/>
  <c r="P5" i="3" s="1"/>
  <c r="J5" i="3" s="1"/>
  <c r="J7" i="3"/>
  <c r="J23" i="3" l="1"/>
  <c r="E35" i="2" s="1"/>
  <c r="K23" i="3"/>
  <c r="O23" i="3"/>
  <c r="F22" i="3"/>
  <c r="O22" i="3" s="1"/>
  <c r="R4" i="3"/>
  <c r="R6" i="3"/>
  <c r="R5" i="3"/>
  <c r="S6" i="3"/>
  <c r="S8" i="3"/>
  <c r="S7" i="3"/>
  <c r="E57" i="2"/>
  <c r="F57" i="2" s="1"/>
  <c r="N23" i="3"/>
  <c r="L23" i="3"/>
  <c r="E13" i="2"/>
  <c r="M23" i="3"/>
  <c r="J22" i="3" l="1"/>
  <c r="K22" i="3"/>
  <c r="F21" i="3"/>
  <c r="F19" i="3"/>
  <c r="F20" i="3"/>
  <c r="G13" i="2"/>
  <c r="G57" i="2"/>
  <c r="I57" i="2" s="1"/>
  <c r="G35" i="2"/>
  <c r="H57" i="2"/>
  <c r="H13" i="2"/>
  <c r="F13" i="2"/>
  <c r="F35" i="2"/>
  <c r="H35" i="2"/>
  <c r="I43" i="2"/>
  <c r="I38" i="2"/>
  <c r="M52" i="2"/>
  <c r="M30" i="2"/>
  <c r="M8" i="2"/>
  <c r="I64" i="2"/>
  <c r="M64" i="2" s="1"/>
  <c r="I16" i="2"/>
  <c r="I60" i="2"/>
  <c r="I21" i="2"/>
  <c r="K47" i="3"/>
  <c r="K48" i="3"/>
  <c r="K46" i="3"/>
  <c r="J20" i="3" l="1"/>
  <c r="K20" i="3"/>
  <c r="E34" i="2"/>
  <c r="H34" i="2" s="1"/>
  <c r="E56" i="2"/>
  <c r="N22" i="3"/>
  <c r="M22" i="3"/>
  <c r="L22" i="3"/>
  <c r="F34" i="2"/>
  <c r="E12" i="2"/>
  <c r="F12" i="2" s="1"/>
  <c r="O21" i="3"/>
  <c r="J21" i="3"/>
  <c r="L21" i="3" s="1"/>
  <c r="K21" i="3"/>
  <c r="K19" i="3"/>
  <c r="J19" i="3"/>
  <c r="E9" i="2" s="1"/>
  <c r="E55" i="2"/>
  <c r="F55" i="2" s="1"/>
  <c r="O19" i="3"/>
  <c r="N20" i="3"/>
  <c r="O20" i="3"/>
  <c r="C36" i="3"/>
  <c r="M21" i="3" l="1"/>
  <c r="N21" i="3"/>
  <c r="E11" i="2"/>
  <c r="H11" i="2" s="1"/>
  <c r="E53" i="2"/>
  <c r="H53" i="2" s="1"/>
  <c r="E31" i="2"/>
  <c r="H31" i="2" s="1"/>
  <c r="M19" i="3"/>
  <c r="H12" i="2"/>
  <c r="G56" i="2"/>
  <c r="I56" i="2" s="1"/>
  <c r="H56" i="2"/>
  <c r="F56" i="2"/>
  <c r="G12" i="2"/>
  <c r="I12" i="2" s="1"/>
  <c r="G34" i="2"/>
  <c r="I34" i="2" s="1"/>
  <c r="G9" i="2"/>
  <c r="I9" i="2" s="1"/>
  <c r="F9" i="2"/>
  <c r="G31" i="2"/>
  <c r="I31" i="2" s="1"/>
  <c r="H9" i="2"/>
  <c r="G53" i="2"/>
  <c r="L19" i="3"/>
  <c r="N19" i="3"/>
  <c r="H55" i="2"/>
  <c r="E33" i="2"/>
  <c r="F33" i="2" s="1"/>
  <c r="E54" i="2"/>
  <c r="L20" i="3"/>
  <c r="M20" i="3"/>
  <c r="E10" i="2"/>
  <c r="G54" i="2" s="1"/>
  <c r="E32" i="2"/>
  <c r="M43" i="2"/>
  <c r="M21" i="2"/>
  <c r="I35" i="2"/>
  <c r="I13" i="2"/>
  <c r="K38" i="2"/>
  <c r="M38" i="2" s="1"/>
  <c r="K60" i="2"/>
  <c r="M60" i="2" s="1"/>
  <c r="K16" i="2"/>
  <c r="M16" i="2" s="1"/>
  <c r="F53" i="2" l="1"/>
  <c r="I53" i="2"/>
  <c r="G33" i="2"/>
  <c r="G11" i="2"/>
  <c r="I11" i="2" s="1"/>
  <c r="G55" i="2"/>
  <c r="I55" i="2" s="1"/>
  <c r="F11" i="2"/>
  <c r="F31" i="2"/>
  <c r="I33" i="2"/>
  <c r="H33" i="2"/>
  <c r="F32" i="2"/>
  <c r="H32" i="2"/>
  <c r="H10" i="2"/>
  <c r="G10" i="2"/>
  <c r="I10" i="2" s="1"/>
  <c r="G32" i="2"/>
  <c r="I32" i="2" s="1"/>
  <c r="F10" i="2"/>
  <c r="H54" i="2"/>
  <c r="F54" i="2"/>
  <c r="I54" i="2"/>
  <c r="F32" i="3" l="1"/>
  <c r="J38" i="3" l="1"/>
  <c r="I39" i="3"/>
  <c r="J39" i="3"/>
  <c r="I40" i="3"/>
  <c r="J41" i="3"/>
  <c r="J40" i="3"/>
  <c r="I38" i="3"/>
  <c r="I41" i="3"/>
  <c r="K38" i="3" l="1"/>
  <c r="K41" i="3"/>
  <c r="K40" i="3"/>
  <c r="K39" i="3"/>
  <c r="F40" i="2" l="1"/>
  <c r="H32" i="3"/>
  <c r="J32" i="3" s="1"/>
  <c r="I32" i="3" l="1"/>
  <c r="K32" i="3" l="1"/>
  <c r="M32" i="3"/>
  <c r="N32" i="3"/>
  <c r="O32" i="3" l="1"/>
  <c r="H29" i="3"/>
  <c r="I29" i="3" s="1"/>
  <c r="H28" i="3"/>
  <c r="J28" i="3" s="1"/>
  <c r="H30" i="3"/>
  <c r="H27" i="3"/>
  <c r="H33" i="3" l="1"/>
  <c r="S5" i="3"/>
  <c r="S4" i="3"/>
  <c r="J29" i="3"/>
  <c r="N29" i="3" s="1"/>
  <c r="M29" i="3"/>
  <c r="I28" i="3"/>
  <c r="J27" i="3"/>
  <c r="I27" i="3"/>
  <c r="O29" i="3" l="1"/>
  <c r="K29" i="3"/>
  <c r="K27" i="3"/>
  <c r="K28" i="3"/>
  <c r="F29" i="3" l="1"/>
  <c r="P3" i="3"/>
  <c r="J3" i="3" s="1"/>
  <c r="I15" i="3" s="1"/>
  <c r="B42" i="1" s="1"/>
  <c r="R3" i="3" l="1"/>
  <c r="F18" i="3" s="1"/>
  <c r="K18" i="3" s="1"/>
  <c r="O18" i="3" l="1"/>
  <c r="O24" i="3" s="1"/>
  <c r="D47" i="3" s="1"/>
  <c r="J18" i="3"/>
  <c r="E30" i="2" s="1"/>
  <c r="F24" i="3"/>
  <c r="J24" i="3" s="1"/>
  <c r="K24" i="3"/>
  <c r="E51" i="3" l="1"/>
  <c r="D48" i="3"/>
  <c r="E8" i="2"/>
  <c r="G52" i="2" s="1"/>
  <c r="C50" i="3"/>
  <c r="C47" i="3"/>
  <c r="E52" i="2"/>
  <c r="D49" i="3"/>
  <c r="D51" i="3"/>
  <c r="N18" i="3"/>
  <c r="N24" i="3" s="1"/>
  <c r="W25" i="1" s="1"/>
  <c r="M18" i="3"/>
  <c r="M24" i="3" s="1"/>
  <c r="P25" i="1" s="1"/>
  <c r="L18" i="3"/>
  <c r="L24" i="3" s="1"/>
  <c r="I25" i="1" s="1"/>
  <c r="E49" i="3"/>
  <c r="E50" i="3"/>
  <c r="C49" i="3"/>
  <c r="C48" i="3"/>
  <c r="E47" i="3"/>
  <c r="E48" i="3"/>
  <c r="C51" i="3"/>
  <c r="I46" i="3" s="1"/>
  <c r="G46" i="3" s="1"/>
  <c r="D50" i="3"/>
  <c r="H30" i="2"/>
  <c r="F30" i="2"/>
  <c r="F8" i="2" l="1"/>
  <c r="I52" i="2"/>
  <c r="K54" i="2" s="1"/>
  <c r="P54" i="2" s="1"/>
  <c r="G30" i="2"/>
  <c r="G27" i="2" s="1"/>
  <c r="F52" i="2"/>
  <c r="I48" i="3"/>
  <c r="G49" i="3" s="1"/>
  <c r="I47" i="3"/>
  <c r="G47" i="3" s="1"/>
  <c r="G8" i="2"/>
  <c r="G5" i="2" s="1"/>
  <c r="H8" i="2"/>
  <c r="H52" i="2"/>
  <c r="F31" i="3"/>
  <c r="I30" i="2"/>
  <c r="K32" i="2" s="1"/>
  <c r="P32" i="2" s="1"/>
  <c r="G48" i="3" l="1"/>
  <c r="F30" i="3" s="1"/>
  <c r="I8" i="2"/>
  <c r="K10" i="2" s="1"/>
  <c r="P10" i="2" s="1"/>
  <c r="F28" i="3"/>
  <c r="B40" i="1"/>
  <c r="B30" i="3"/>
  <c r="I30" i="3" s="1"/>
  <c r="B31" i="3"/>
  <c r="I31" i="3" s="1"/>
  <c r="D32" i="3"/>
  <c r="L17" i="2"/>
  <c r="D31" i="3"/>
  <c r="J31" i="3" s="1"/>
  <c r="N31" i="3" s="1"/>
  <c r="B32" i="3"/>
  <c r="M30" i="3" l="1"/>
  <c r="I33" i="3"/>
  <c r="C24" i="2" s="1"/>
  <c r="F44" i="2"/>
  <c r="D29" i="3"/>
  <c r="F65" i="2"/>
  <c r="J17" i="2"/>
  <c r="C33" i="3"/>
  <c r="M22" i="2" s="1"/>
  <c r="P21" i="2" s="1"/>
  <c r="I29" i="1" s="1"/>
  <c r="E33" i="3"/>
  <c r="I44" i="2" s="1"/>
  <c r="F22" i="2"/>
  <c r="G39" i="2"/>
  <c r="G65" i="2"/>
  <c r="F39" i="2"/>
  <c r="K61" i="2"/>
  <c r="K17" i="2"/>
  <c r="B29" i="3"/>
  <c r="J39" i="2"/>
  <c r="K39" i="2"/>
  <c r="G17" i="2"/>
  <c r="F17" i="2"/>
  <c r="L39" i="2"/>
  <c r="G44" i="2"/>
  <c r="J61" i="2"/>
  <c r="D30" i="3"/>
  <c r="J30" i="3" s="1"/>
  <c r="N30" i="3" s="1"/>
  <c r="D28" i="3"/>
  <c r="J37" i="3" s="1"/>
  <c r="G22" i="2"/>
  <c r="B28" i="3"/>
  <c r="I37" i="3" s="1"/>
  <c r="D27" i="3"/>
  <c r="J36" i="3" s="1"/>
  <c r="N27" i="3" s="1"/>
  <c r="B27" i="3"/>
  <c r="I36" i="3" s="1"/>
  <c r="G61" i="2"/>
  <c r="F61" i="2"/>
  <c r="F27" i="3"/>
  <c r="F33" i="3" s="1"/>
  <c r="G33" i="3"/>
  <c r="I65" i="2" s="1"/>
  <c r="L61" i="2"/>
  <c r="M31" i="3"/>
  <c r="O31" i="3" s="1"/>
  <c r="K31" i="3"/>
  <c r="B43" i="1"/>
  <c r="K36" i="3" l="1"/>
  <c r="M27" i="3"/>
  <c r="O27" i="3" s="1"/>
  <c r="M65" i="2"/>
  <c r="P64" i="2" s="1"/>
  <c r="W29" i="1" s="1"/>
  <c r="J33" i="3"/>
  <c r="K30" i="3"/>
  <c r="K33" i="3" s="1"/>
  <c r="O30" i="3"/>
  <c r="I61" i="2"/>
  <c r="M61" i="2" s="1"/>
  <c r="P60" i="2" s="1"/>
  <c r="W27" i="1" s="1"/>
  <c r="D33" i="3"/>
  <c r="I39" i="2" s="1"/>
  <c r="M39" i="2" s="1"/>
  <c r="M44" i="2"/>
  <c r="P43" i="2" s="1"/>
  <c r="P29" i="1" s="1"/>
  <c r="I22" i="2"/>
  <c r="J42" i="3"/>
  <c r="N28" i="3"/>
  <c r="N33" i="3" s="1"/>
  <c r="K37" i="3"/>
  <c r="K42" i="3" s="1"/>
  <c r="N18" i="2" s="1"/>
  <c r="I42" i="3"/>
  <c r="M28" i="3"/>
  <c r="B33" i="3"/>
  <c r="T27" i="3"/>
  <c r="T28" i="3" s="1"/>
  <c r="D47" i="2"/>
  <c r="R24" i="2"/>
  <c r="D25" i="2"/>
  <c r="B31" i="1"/>
  <c r="C46" i="2"/>
  <c r="R46" i="2" s="1"/>
  <c r="W33" i="1" l="1"/>
  <c r="S27" i="3"/>
  <c r="S28" i="3" s="1"/>
  <c r="I67" i="2"/>
  <c r="T30" i="3"/>
  <c r="T31" i="3" s="1"/>
  <c r="R27" i="3"/>
  <c r="R30" i="3" s="1"/>
  <c r="R31" i="3" s="1"/>
  <c r="I17" i="2"/>
  <c r="M17" i="2" s="1"/>
  <c r="O28" i="3"/>
  <c r="O33" i="3" s="1"/>
  <c r="M33" i="3"/>
  <c r="M18" i="2"/>
  <c r="I18" i="2"/>
  <c r="M40" i="2"/>
  <c r="P39" i="2" s="1"/>
  <c r="P27" i="1" s="1"/>
  <c r="I40" i="2"/>
  <c r="I30" i="1"/>
  <c r="O31" i="1"/>
  <c r="V31" i="1"/>
  <c r="P30" i="1"/>
  <c r="R28" i="3" l="1"/>
  <c r="U28" i="3" s="1"/>
  <c r="U27" i="3"/>
  <c r="S30" i="3"/>
  <c r="S31" i="3" s="1"/>
  <c r="U31" i="3" s="1"/>
  <c r="P17" i="2"/>
  <c r="I27" i="1" s="1"/>
  <c r="U33" i="3" l="1"/>
  <c r="S35" i="3" s="1"/>
  <c r="K46" i="2" s="1"/>
  <c r="I47" i="2" s="1"/>
  <c r="U30" i="3"/>
  <c r="P31" i="1"/>
  <c r="P33" i="1" s="1"/>
  <c r="R35" i="3" l="1"/>
  <c r="K24" i="2" s="1"/>
  <c r="I25" i="2" s="1"/>
  <c r="P70" i="2" s="1"/>
  <c r="P72" i="2" s="1"/>
  <c r="I31" i="1"/>
  <c r="I33" i="1" s="1"/>
  <c r="AF33" i="1" s="1"/>
  <c r="AF3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FINE_User</author>
  </authors>
  <commentList>
    <comment ref="N2" authorId="0" shapeId="0" xr:uid="{00000000-0006-0000-0200-000001000000}">
      <text>
        <r>
          <rPr>
            <b/>
            <sz val="9"/>
            <color indexed="81"/>
            <rFont val="MS P ゴシック"/>
            <family val="3"/>
            <charset val="128"/>
          </rPr>
          <t xml:space="preserve">保険料の計算には反映させていない
</t>
        </r>
      </text>
    </comment>
  </commentList>
</comments>
</file>

<file path=xl/sharedStrings.xml><?xml version="1.0" encoding="utf-8"?>
<sst xmlns="http://schemas.openxmlformats.org/spreadsheetml/2006/main" count="264" uniqueCount="161">
  <si>
    <t>世帯主</t>
    <rPh sb="0" eb="3">
      <t>セタイヌシ</t>
    </rPh>
    <phoneticPr fontId="2"/>
  </si>
  <si>
    <t>加入者１</t>
    <rPh sb="0" eb="3">
      <t>カニュウシャ</t>
    </rPh>
    <phoneticPr fontId="2"/>
  </si>
  <si>
    <t>加入者２</t>
    <rPh sb="0" eb="3">
      <t>カニュウシャ</t>
    </rPh>
    <phoneticPr fontId="2"/>
  </si>
  <si>
    <t>加入者３</t>
    <rPh sb="0" eb="3">
      <t>カニュウシャ</t>
    </rPh>
    <phoneticPr fontId="2"/>
  </si>
  <si>
    <t>加入者４</t>
    <rPh sb="0" eb="3">
      <t>カニュウシャ</t>
    </rPh>
    <phoneticPr fontId="2"/>
  </si>
  <si>
    <t>加入者５</t>
    <rPh sb="0" eb="3">
      <t>カニュウシャ</t>
    </rPh>
    <phoneticPr fontId="2"/>
  </si>
  <si>
    <t>総所得金額</t>
    <rPh sb="0" eb="3">
      <t>ソウショトク</t>
    </rPh>
    <rPh sb="3" eb="5">
      <t>キンガク</t>
    </rPh>
    <phoneticPr fontId="2"/>
  </si>
  <si>
    <t>加入しない</t>
    <rPh sb="0" eb="2">
      <t>カニュウ</t>
    </rPh>
    <phoneticPr fontId="2"/>
  </si>
  <si>
    <t>円</t>
    <rPh sb="0" eb="1">
      <t>エン</t>
    </rPh>
    <phoneticPr fontId="2"/>
  </si>
  <si>
    <t>支援分</t>
    <rPh sb="0" eb="2">
      <t>シエン</t>
    </rPh>
    <rPh sb="2" eb="3">
      <t>ブン</t>
    </rPh>
    <phoneticPr fontId="2"/>
  </si>
  <si>
    <t>介護分</t>
    <rPh sb="0" eb="2">
      <t>カイゴ</t>
    </rPh>
    <rPh sb="2" eb="3">
      <t>ブン</t>
    </rPh>
    <phoneticPr fontId="2"/>
  </si>
  <si>
    <t>＋</t>
    <phoneticPr fontId="2"/>
  </si>
  <si>
    <t>合計額</t>
    <rPh sb="0" eb="2">
      <t>ゴウケイ</t>
    </rPh>
    <rPh sb="2" eb="3">
      <t>ガク</t>
    </rPh>
    <phoneticPr fontId="2"/>
  </si>
  <si>
    <t>合計</t>
    <rPh sb="0" eb="2">
      <t>ゴウケイ</t>
    </rPh>
    <phoneticPr fontId="2"/>
  </si>
  <si>
    <t>賦課限度額</t>
    <rPh sb="0" eb="2">
      <t>フカ</t>
    </rPh>
    <rPh sb="2" eb="4">
      <t>ゲンド</t>
    </rPh>
    <rPh sb="4" eb="5">
      <t>ガク</t>
    </rPh>
    <phoneticPr fontId="2"/>
  </si>
  <si>
    <t>所得割</t>
    <rPh sb="0" eb="2">
      <t>ショトク</t>
    </rPh>
    <rPh sb="2" eb="3">
      <t>ワリ</t>
    </rPh>
    <phoneticPr fontId="2"/>
  </si>
  <si>
    <t>均等割</t>
    <rPh sb="0" eb="2">
      <t>キントウ</t>
    </rPh>
    <phoneticPr fontId="2"/>
  </si>
  <si>
    <t>年間保険料</t>
    <rPh sb="0" eb="2">
      <t>ネンカン</t>
    </rPh>
    <rPh sb="2" eb="5">
      <t>ホケンリョウ</t>
    </rPh>
    <phoneticPr fontId="2"/>
  </si>
  <si>
    <t>均等割</t>
    <rPh sb="0" eb="2">
      <t>キントウ</t>
    </rPh>
    <rPh sb="2" eb="3">
      <t>ワリ</t>
    </rPh>
    <phoneticPr fontId="2"/>
  </si>
  <si>
    <t>限度額</t>
    <rPh sb="0" eb="2">
      <t>ゲンド</t>
    </rPh>
    <rPh sb="2" eb="3">
      <t>ガク</t>
    </rPh>
    <phoneticPr fontId="2"/>
  </si>
  <si>
    <t>支援金</t>
    <rPh sb="0" eb="2">
      <t>シエン</t>
    </rPh>
    <rPh sb="2" eb="3">
      <t>キン</t>
    </rPh>
    <phoneticPr fontId="2"/>
  </si>
  <si>
    <t>7割軽減</t>
    <rPh sb="1" eb="2">
      <t>ワリ</t>
    </rPh>
    <rPh sb="2" eb="4">
      <t>ケイゲン</t>
    </rPh>
    <phoneticPr fontId="2"/>
  </si>
  <si>
    <t>5割軽減</t>
    <rPh sb="1" eb="2">
      <t>ワリ</t>
    </rPh>
    <rPh sb="2" eb="4">
      <t>ケイゲン</t>
    </rPh>
    <phoneticPr fontId="2"/>
  </si>
  <si>
    <t>2割軽減</t>
    <rPh sb="1" eb="2">
      <t>ワリ</t>
    </rPh>
    <rPh sb="2" eb="4">
      <t>ケイゲン</t>
    </rPh>
    <phoneticPr fontId="2"/>
  </si>
  <si>
    <t>【保険料率】</t>
    <rPh sb="1" eb="4">
      <t>ホケンリョウ</t>
    </rPh>
    <rPh sb="4" eb="5">
      <t>リツ</t>
    </rPh>
    <phoneticPr fontId="2"/>
  </si>
  <si>
    <t>加入者合計</t>
    <rPh sb="0" eb="3">
      <t>カニュウシャ</t>
    </rPh>
    <rPh sb="3" eb="5">
      <t>ゴウケイ</t>
    </rPh>
    <phoneticPr fontId="2"/>
  </si>
  <si>
    <t>人数判定</t>
    <rPh sb="0" eb="2">
      <t>ニンズウ</t>
    </rPh>
    <rPh sb="2" eb="4">
      <t>ハンテイ</t>
    </rPh>
    <phoneticPr fontId="2"/>
  </si>
  <si>
    <t>世帯主判定</t>
    <rPh sb="0" eb="3">
      <t>セタイヌシ</t>
    </rPh>
    <rPh sb="3" eb="5">
      <t>ハンテイ</t>
    </rPh>
    <phoneticPr fontId="2"/>
  </si>
  <si>
    <t>介護判定</t>
    <rPh sb="0" eb="2">
      <t>カイゴ</t>
    </rPh>
    <rPh sb="2" eb="4">
      <t>ハンテイ</t>
    </rPh>
    <phoneticPr fontId="2"/>
  </si>
  <si>
    <t>均等割（介護）</t>
    <rPh sb="0" eb="3">
      <t>キントウワ</t>
    </rPh>
    <rPh sb="4" eb="6">
      <t>カイゴ</t>
    </rPh>
    <phoneticPr fontId="2"/>
  </si>
  <si>
    <t>均等割（支援）</t>
    <rPh sb="4" eb="6">
      <t>シエン</t>
    </rPh>
    <phoneticPr fontId="2"/>
  </si>
  <si>
    <t>均等割（医療）</t>
    <rPh sb="0" eb="3">
      <t>キントウワ</t>
    </rPh>
    <rPh sb="4" eb="6">
      <t>イリョウ</t>
    </rPh>
    <phoneticPr fontId="2"/>
  </si>
  <si>
    <t>総所得金額</t>
  </si>
  <si>
    <t>所得割（医療）</t>
    <rPh sb="0" eb="2">
      <t>ショトク</t>
    </rPh>
    <rPh sb="2" eb="3">
      <t>ワリ</t>
    </rPh>
    <rPh sb="4" eb="6">
      <t>イリョウ</t>
    </rPh>
    <phoneticPr fontId="2"/>
  </si>
  <si>
    <t>所得割（支援）</t>
    <rPh sb="0" eb="2">
      <t>ショトク</t>
    </rPh>
    <rPh sb="2" eb="3">
      <t>ワリ</t>
    </rPh>
    <rPh sb="4" eb="6">
      <t>シエン</t>
    </rPh>
    <phoneticPr fontId="2"/>
  </si>
  <si>
    <t>所得割（介護）</t>
    <rPh sb="0" eb="2">
      <t>ショトク</t>
    </rPh>
    <rPh sb="2" eb="3">
      <t>ワリ</t>
    </rPh>
    <rPh sb="4" eb="6">
      <t>カイゴ</t>
    </rPh>
    <phoneticPr fontId="2"/>
  </si>
  <si>
    <t>年齢判定</t>
    <rPh sb="0" eb="2">
      <t>ネンレイ</t>
    </rPh>
    <rPh sb="2" eb="4">
      <t>ハンテイ</t>
    </rPh>
    <phoneticPr fontId="2"/>
  </si>
  <si>
    <t>円</t>
    <phoneticPr fontId="2"/>
  </si>
  <si>
    <t>7割</t>
    <rPh sb="1" eb="2">
      <t>ワリ</t>
    </rPh>
    <phoneticPr fontId="2"/>
  </si>
  <si>
    <t>5割</t>
    <rPh sb="1" eb="2">
      <t>ワリ</t>
    </rPh>
    <phoneticPr fontId="2"/>
  </si>
  <si>
    <t>2割</t>
    <rPh sb="1" eb="2">
      <t>ワリ</t>
    </rPh>
    <phoneticPr fontId="2"/>
  </si>
  <si>
    <t>基礎控除額</t>
    <rPh sb="0" eb="2">
      <t>キソ</t>
    </rPh>
    <rPh sb="2" eb="4">
      <t>コウジョ</t>
    </rPh>
    <rPh sb="4" eb="5">
      <t>ガク</t>
    </rPh>
    <phoneticPr fontId="2"/>
  </si>
  <si>
    <t>1人につき</t>
    <rPh sb="1" eb="2">
      <t>ヒト</t>
    </rPh>
    <phoneticPr fontId="2"/>
  </si>
  <si>
    <t>1世帯につき</t>
    <rPh sb="1" eb="3">
      <t>セタイ</t>
    </rPh>
    <phoneticPr fontId="2"/>
  </si>
  <si>
    <t>【軽減表示文言】</t>
    <phoneticPr fontId="2"/>
  </si>
  <si>
    <t>【減額判定表】</t>
    <rPh sb="1" eb="3">
      <t>ゲンガク</t>
    </rPh>
    <rPh sb="3" eb="5">
      <t>ハンテイ</t>
    </rPh>
    <rPh sb="5" eb="6">
      <t>ヒョウ</t>
    </rPh>
    <phoneticPr fontId="2"/>
  </si>
  <si>
    <t>【軽減基準】</t>
    <rPh sb="1" eb="3">
      <t>ケイゲン</t>
    </rPh>
    <rPh sb="3" eb="5">
      <t>キジュン</t>
    </rPh>
    <phoneticPr fontId="2"/>
  </si>
  <si>
    <t>区分</t>
    <rPh sb="0" eb="2">
      <t>クブン</t>
    </rPh>
    <phoneticPr fontId="2"/>
  </si>
  <si>
    <t>円</t>
  </si>
  <si>
    <t>介護分</t>
  </si>
  <si>
    <t>円</t>
    <phoneticPr fontId="2"/>
  </si>
  <si>
    <t>| |</t>
  </si>
  <si>
    <t>（100円未満切り捨て）</t>
  </si>
  <si>
    <t>＋</t>
    <phoneticPr fontId="2"/>
  </si>
  <si>
    <t>所得割</t>
    <rPh sb="0" eb="3">
      <t>ショトクワリ</t>
    </rPh>
    <phoneticPr fontId="2"/>
  </si>
  <si>
    <t>均等割</t>
    <rPh sb="0" eb="3">
      <t>キントウワリ</t>
    </rPh>
    <phoneticPr fontId="2"/>
  </si>
  <si>
    <t>基礎控除後の
総所得金額等</t>
    <phoneticPr fontId="2"/>
  </si>
  <si>
    <t>＝</t>
    <phoneticPr fontId="2"/>
  </si>
  <si>
    <t>×</t>
    <phoneticPr fontId="2"/>
  </si>
  <si>
    <t>所得割料率</t>
    <phoneticPr fontId="2"/>
  </si>
  <si>
    <t>所得割料率</t>
    <phoneticPr fontId="2"/>
  </si>
  <si>
    <t>所得割料率</t>
    <phoneticPr fontId="2"/>
  </si>
  <si>
    <t>合計</t>
    <phoneticPr fontId="2"/>
  </si>
  <si>
    <t>※100円未満切り捨て</t>
    <rPh sb="4" eb="5">
      <t>エン</t>
    </rPh>
    <rPh sb="5" eb="7">
      <t>ミマン</t>
    </rPh>
    <rPh sb="7" eb="8">
      <t>キ</t>
    </rPh>
    <rPh sb="9" eb="10">
      <t>ス</t>
    </rPh>
    <phoneticPr fontId="2"/>
  </si>
  <si>
    <t>（年間保険料／12か月）</t>
    <rPh sb="1" eb="3">
      <t>ネンカン</t>
    </rPh>
    <rPh sb="3" eb="6">
      <t>ホケンリョウ</t>
    </rPh>
    <rPh sb="10" eb="11">
      <t>ゲツ</t>
    </rPh>
    <phoneticPr fontId="2"/>
  </si>
  <si>
    <t>1か月あたりの保険料</t>
    <rPh sb="2" eb="3">
      <t>ゲツ</t>
    </rPh>
    <rPh sb="7" eb="10">
      <t>ホケンリョウ</t>
    </rPh>
    <phoneticPr fontId="2"/>
  </si>
  <si>
    <t>給与収入</t>
    <rPh sb="0" eb="2">
      <t>キュウヨ</t>
    </rPh>
    <rPh sb="2" eb="4">
      <t>シュウニュウ</t>
    </rPh>
    <phoneticPr fontId="2"/>
  </si>
  <si>
    <t>円</t>
    <rPh sb="0" eb="1">
      <t>エン</t>
    </rPh>
    <phoneticPr fontId="2"/>
  </si>
  <si>
    <t>年金収入</t>
    <rPh sb="0" eb="4">
      <t>ネンキンシュウニュウ</t>
    </rPh>
    <phoneticPr fontId="2"/>
  </si>
  <si>
    <t>その他所得</t>
    <rPh sb="2" eb="3">
      <t>タ</t>
    </rPh>
    <rPh sb="3" eb="5">
      <t>ショトク</t>
    </rPh>
    <phoneticPr fontId="2"/>
  </si>
  <si>
    <t>給与所得</t>
    <rPh sb="0" eb="4">
      <t>キュウヨショトク</t>
    </rPh>
    <phoneticPr fontId="2"/>
  </si>
  <si>
    <t>年金所得</t>
    <rPh sb="0" eb="2">
      <t>ネンキン</t>
    </rPh>
    <rPh sb="2" eb="4">
      <t>ショトク</t>
    </rPh>
    <phoneticPr fontId="2"/>
  </si>
  <si>
    <t>その他所得</t>
    <rPh sb="2" eb="3">
      <t>タ</t>
    </rPh>
    <rPh sb="3" eb="5">
      <t>ショトク</t>
    </rPh>
    <phoneticPr fontId="2"/>
  </si>
  <si>
    <t>給与所得</t>
    <rPh sb="0" eb="4">
      <t>キュウヨショトク</t>
    </rPh>
    <phoneticPr fontId="2"/>
  </si>
  <si>
    <t>年金収入</t>
    <rPh sb="0" eb="2">
      <t>ネンキン</t>
    </rPh>
    <rPh sb="2" eb="4">
      <t>シュウニュウ</t>
    </rPh>
    <phoneticPr fontId="2"/>
  </si>
  <si>
    <t>年金所得</t>
    <rPh sb="0" eb="2">
      <t>ネンキン</t>
    </rPh>
    <rPh sb="2" eb="4">
      <t>ショトク</t>
    </rPh>
    <phoneticPr fontId="2"/>
  </si>
  <si>
    <t>65歳未満</t>
    <rPh sb="2" eb="5">
      <t>サイミマン</t>
    </rPh>
    <phoneticPr fontId="2"/>
  </si>
  <si>
    <t>65歳以上</t>
    <rPh sb="2" eb="5">
      <t>サイイジョウ</t>
    </rPh>
    <phoneticPr fontId="2"/>
  </si>
  <si>
    <t>合計</t>
    <rPh sb="0" eb="2">
      <t>ゴウケイ</t>
    </rPh>
    <phoneticPr fontId="2"/>
  </si>
  <si>
    <t>給与所得者等の数</t>
    <rPh sb="0" eb="2">
      <t>キュウヨ</t>
    </rPh>
    <rPh sb="2" eb="4">
      <t>ショトク</t>
    </rPh>
    <rPh sb="4" eb="5">
      <t>シャ</t>
    </rPh>
    <rPh sb="5" eb="6">
      <t>トウ</t>
    </rPh>
    <rPh sb="7" eb="8">
      <t>カズ</t>
    </rPh>
    <phoneticPr fontId="2"/>
  </si>
  <si>
    <t>軽減判定用所得</t>
    <rPh sb="0" eb="2">
      <t>ケイゲン</t>
    </rPh>
    <rPh sb="2" eb="4">
      <t>ハンテイ</t>
    </rPh>
    <rPh sb="4" eb="5">
      <t>ヨウ</t>
    </rPh>
    <rPh sb="5" eb="7">
      <t>ショトク</t>
    </rPh>
    <phoneticPr fontId="2"/>
  </si>
  <si>
    <t>調整控除（参考）</t>
    <rPh sb="0" eb="2">
      <t>チョウセイ</t>
    </rPh>
    <rPh sb="2" eb="4">
      <t>コウジョ</t>
    </rPh>
    <rPh sb="5" eb="7">
      <t>サンコウ</t>
    </rPh>
    <phoneticPr fontId="2"/>
  </si>
  <si>
    <t>給与所得（調整控除後）</t>
    <rPh sb="0" eb="4">
      <t>キュウヨショトク</t>
    </rPh>
    <rPh sb="5" eb="10">
      <t>チョウセイコウジョゴ</t>
    </rPh>
    <phoneticPr fontId="2"/>
  </si>
  <si>
    <t>【非自発区分入力】</t>
    <rPh sb="1" eb="2">
      <t>ヒ</t>
    </rPh>
    <rPh sb="2" eb="4">
      <t>ジハツ</t>
    </rPh>
    <rPh sb="4" eb="6">
      <t>クブン</t>
    </rPh>
    <rPh sb="6" eb="8">
      <t>ニュウリョク</t>
    </rPh>
    <phoneticPr fontId="2"/>
  </si>
  <si>
    <t>【非自発区分判定】</t>
    <rPh sb="1" eb="2">
      <t>ヒ</t>
    </rPh>
    <rPh sb="2" eb="4">
      <t>ジハツ</t>
    </rPh>
    <rPh sb="4" eb="6">
      <t>クブン</t>
    </rPh>
    <rPh sb="6" eb="8">
      <t>ハンテイ</t>
    </rPh>
    <phoneticPr fontId="2"/>
  </si>
  <si>
    <t>【非自発考慮後給与】</t>
    <rPh sb="1" eb="2">
      <t>ヒ</t>
    </rPh>
    <rPh sb="2" eb="4">
      <t>ジハツ</t>
    </rPh>
    <rPh sb="4" eb="7">
      <t>コウリョゴ</t>
    </rPh>
    <rPh sb="7" eb="9">
      <t>キュウヨ</t>
    </rPh>
    <phoneticPr fontId="2"/>
  </si>
  <si>
    <t>世帯主</t>
    <rPh sb="0" eb="3">
      <t>セタイヌシ</t>
    </rPh>
    <phoneticPr fontId="2"/>
  </si>
  <si>
    <t>加入する</t>
    <rPh sb="0" eb="2">
      <t>カニュウ</t>
    </rPh>
    <phoneticPr fontId="2"/>
  </si>
  <si>
    <t>７５歳以上</t>
    <rPh sb="2" eb="3">
      <t>サイ</t>
    </rPh>
    <rPh sb="3" eb="5">
      <t>イジョウ</t>
    </rPh>
    <phoneticPr fontId="2"/>
  </si>
  <si>
    <t>世帯主加入</t>
    <rPh sb="0" eb="5">
      <t>セタイヌシカニュウ</t>
    </rPh>
    <phoneticPr fontId="2"/>
  </si>
  <si>
    <t>【世帯主年齢】</t>
    <rPh sb="1" eb="4">
      <t>セタイヌシ</t>
    </rPh>
    <rPh sb="4" eb="6">
      <t>ネンレイ</t>
    </rPh>
    <phoneticPr fontId="2"/>
  </si>
  <si>
    <t>【年齢判定】</t>
    <rPh sb="1" eb="5">
      <t>ネンレイハンテイ</t>
    </rPh>
    <phoneticPr fontId="2"/>
  </si>
  <si>
    <t>世帯主の年齢判定、人数判定、介護判定、各種所得情報の設定は加入者と違うので注意</t>
    <rPh sb="0" eb="3">
      <t>セタイヌシ</t>
    </rPh>
    <rPh sb="4" eb="8">
      <t>ネンレイハンテイ</t>
    </rPh>
    <rPh sb="9" eb="11">
      <t>ニンズウハ</t>
    </rPh>
    <rPh sb="11" eb="13">
      <t>ンテイ</t>
    </rPh>
    <rPh sb="14" eb="18">
      <t>カイゴハンテイ</t>
    </rPh>
    <rPh sb="19" eb="25">
      <t>カクシュショトクジョウホウ</t>
    </rPh>
    <rPh sb="26" eb="28">
      <t>セッテイ</t>
    </rPh>
    <rPh sb="29" eb="32">
      <t>カニュウシャ</t>
    </rPh>
    <phoneticPr fontId="2"/>
  </si>
  <si>
    <t>合計（医療）</t>
    <rPh sb="0" eb="2">
      <t>ゴウケイ</t>
    </rPh>
    <rPh sb="3" eb="5">
      <t>イリョウ</t>
    </rPh>
    <phoneticPr fontId="2"/>
  </si>
  <si>
    <t>合計（支援）</t>
    <rPh sb="0" eb="2">
      <t>ゴウケイ</t>
    </rPh>
    <rPh sb="3" eb="5">
      <t>シエン</t>
    </rPh>
    <phoneticPr fontId="2"/>
  </si>
  <si>
    <t>合計（介護）</t>
    <rPh sb="0" eb="2">
      <t>ゴウケイ</t>
    </rPh>
    <rPh sb="3" eb="5">
      <t>カイゴ</t>
    </rPh>
    <phoneticPr fontId="2"/>
  </si>
  <si>
    <t>合計</t>
    <rPh sb="0" eb="2">
      <t>ゴウケイ</t>
    </rPh>
    <phoneticPr fontId="2"/>
  </si>
  <si>
    <t>100円未満切捨て</t>
    <rPh sb="3" eb="6">
      <t>エンミマン</t>
    </rPh>
    <rPh sb="6" eb="8">
      <t>キリス</t>
    </rPh>
    <phoneticPr fontId="2"/>
  </si>
  <si>
    <t>多子減免後</t>
    <rPh sb="0" eb="5">
      <t>タシゲンメンゴ</t>
    </rPh>
    <phoneticPr fontId="2"/>
  </si>
  <si>
    <t>振り分け</t>
    <rPh sb="0" eb="1">
      <t>フ</t>
    </rPh>
    <rPh sb="2" eb="3">
      <t>ワ</t>
    </rPh>
    <phoneticPr fontId="2"/>
  </si>
  <si>
    <t>100円未満調整</t>
    <rPh sb="3" eb="6">
      <t>エンミマン</t>
    </rPh>
    <rPh sb="6" eb="8">
      <t>チョウセイ</t>
    </rPh>
    <phoneticPr fontId="2"/>
  </si>
  <si>
    <t>年齢区分</t>
    <phoneticPr fontId="2"/>
  </si>
  <si>
    <t>調整中</t>
    <rPh sb="0" eb="3">
      <t>チョウセイチュウ</t>
    </rPh>
    <phoneticPr fontId="2"/>
  </si>
  <si>
    <t>多子減免額（①－②）</t>
    <rPh sb="0" eb="5">
      <t>タシゲンメンガク</t>
    </rPh>
    <phoneticPr fontId="2"/>
  </si>
  <si>
    <t>・・・①</t>
    <phoneticPr fontId="2"/>
  </si>
  <si>
    <t>・・・②</t>
    <phoneticPr fontId="2"/>
  </si>
  <si>
    <t>　… (ウ)</t>
    <phoneticPr fontId="2"/>
  </si>
  <si>
    <t>　… (イ)</t>
    <phoneticPr fontId="2"/>
  </si>
  <si>
    <t>　… (ア)</t>
    <phoneticPr fontId="2"/>
  </si>
  <si>
    <t>年間保険料　【①+②+③】</t>
    <rPh sb="0" eb="2">
      <t>ネンカン</t>
    </rPh>
    <rPh sb="2" eb="5">
      <t>ホケンリョウ</t>
    </rPh>
    <phoneticPr fontId="2"/>
  </si>
  <si>
    <t>1か月あたりの保険料　（年間保険料／12か月）</t>
    <rPh sb="2" eb="3">
      <t>ゲツ</t>
    </rPh>
    <rPh sb="7" eb="10">
      <t>ホケンリョウ</t>
    </rPh>
    <rPh sb="12" eb="14">
      <t>ネンカン</t>
    </rPh>
    <rPh sb="14" eb="17">
      <t>ホケンリョウ</t>
    </rPh>
    <rPh sb="21" eb="22">
      <t>ゲツ</t>
    </rPh>
    <phoneticPr fontId="2"/>
  </si>
  <si>
    <t>小学生から中学生</t>
    <rPh sb="0" eb="3">
      <t>ショウガクセイ</t>
    </rPh>
    <rPh sb="5" eb="8">
      <t>チュウガクセイ</t>
    </rPh>
    <phoneticPr fontId="2"/>
  </si>
  <si>
    <t>１５歳から３９歳</t>
    <rPh sb="2" eb="3">
      <t>サイ</t>
    </rPh>
    <rPh sb="7" eb="8">
      <t>サイ</t>
    </rPh>
    <phoneticPr fontId="2"/>
  </si>
  <si>
    <t>４０歳から６４歳</t>
    <rPh sb="2" eb="3">
      <t>サイ</t>
    </rPh>
    <rPh sb="7" eb="8">
      <t>サイ</t>
    </rPh>
    <phoneticPr fontId="2"/>
  </si>
  <si>
    <t>６５歳から７４歳</t>
    <rPh sb="2" eb="3">
      <t>サイ</t>
    </rPh>
    <rPh sb="7" eb="8">
      <t>サイ</t>
    </rPh>
    <phoneticPr fontId="2"/>
  </si>
  <si>
    <t>修正したところ・・・青字</t>
    <rPh sb="0" eb="2">
      <t>シュウセイ</t>
    </rPh>
    <rPh sb="10" eb="11">
      <t>アオ</t>
    </rPh>
    <rPh sb="11" eb="12">
      <t>ジ</t>
    </rPh>
    <phoneticPr fontId="2"/>
  </si>
  <si>
    <t>子ども軽減</t>
    <rPh sb="0" eb="1">
      <t>コ</t>
    </rPh>
    <rPh sb="3" eb="5">
      <t>ケイゲン</t>
    </rPh>
    <phoneticPr fontId="2"/>
  </si>
  <si>
    <t>支援分減免額</t>
    <rPh sb="0" eb="3">
      <t>シエンブン</t>
    </rPh>
    <rPh sb="3" eb="6">
      <t>ゲンメンガク</t>
    </rPh>
    <phoneticPr fontId="2"/>
  </si>
  <si>
    <t>合計減免額</t>
    <rPh sb="0" eb="2">
      <t>ゴウケイ</t>
    </rPh>
    <rPh sb="2" eb="5">
      <t>ゲンメンガク</t>
    </rPh>
    <phoneticPr fontId="2"/>
  </si>
  <si>
    <t>合計軽減額</t>
    <rPh sb="0" eb="2">
      <t>ゴウケイ</t>
    </rPh>
    <rPh sb="2" eb="4">
      <t>ケイゲン</t>
    </rPh>
    <rPh sb="4" eb="5">
      <t>ガク</t>
    </rPh>
    <phoneticPr fontId="2"/>
  </si>
  <si>
    <t>支援分減額額</t>
    <rPh sb="0" eb="3">
      <t>シエンブン</t>
    </rPh>
    <rPh sb="3" eb="5">
      <t>ゲンガク</t>
    </rPh>
    <rPh sb="5" eb="6">
      <t>ガク</t>
    </rPh>
    <phoneticPr fontId="2"/>
  </si>
  <si>
    <t>多子減免</t>
    <rPh sb="0" eb="2">
      <t>タシ</t>
    </rPh>
    <rPh sb="2" eb="4">
      <t>ゲンメン</t>
    </rPh>
    <phoneticPr fontId="2"/>
  </si>
  <si>
    <t>０歳から未就学</t>
    <rPh sb="1" eb="2">
      <t>サイ</t>
    </rPh>
    <rPh sb="4" eb="5">
      <t>ミ</t>
    </rPh>
    <rPh sb="5" eb="7">
      <t>シュウガク</t>
    </rPh>
    <phoneticPr fontId="2"/>
  </si>
  <si>
    <t>多子減免前</t>
    <rPh sb="0" eb="5">
      <t>タシゲンメンマエ</t>
    </rPh>
    <phoneticPr fontId="2"/>
  </si>
  <si>
    <t>多子減免－子ども軽減</t>
    <rPh sb="0" eb="4">
      <t>タシゲンメン</t>
    </rPh>
    <rPh sb="5" eb="6">
      <t>コ</t>
    </rPh>
    <rPh sb="8" eb="10">
      <t>ケイゲン</t>
    </rPh>
    <phoneticPr fontId="2"/>
  </si>
  <si>
    <t>※基礎控除額
（43万円）</t>
    <rPh sb="10" eb="12">
      <t>マンエン</t>
    </rPh>
    <phoneticPr fontId="2"/>
  </si>
  <si>
    <t>40歳から64歳までの
加入者の基礎控除後の
総所得金額等</t>
    <rPh sb="7" eb="8">
      <t>サイ</t>
    </rPh>
    <phoneticPr fontId="2"/>
  </si>
  <si>
    <t xml:space="preserve">   非自発的
   失業者</t>
    <rPh sb="3" eb="4">
      <t>ヒ</t>
    </rPh>
    <rPh sb="4" eb="7">
      <t>ジハツテキ</t>
    </rPh>
    <rPh sb="11" eb="14">
      <t>シツギョウシャ</t>
    </rPh>
    <phoneticPr fontId="2"/>
  </si>
  <si>
    <t>… (ウ)</t>
    <phoneticPr fontId="2"/>
  </si>
  <si>
    <t>… (イ)</t>
    <phoneticPr fontId="2"/>
  </si>
  <si>
    <t>… (ア)</t>
    <phoneticPr fontId="2"/>
  </si>
  <si>
    <t>未就学児</t>
    <rPh sb="0" eb="1">
      <t>ミ</t>
    </rPh>
    <rPh sb="1" eb="3">
      <t>シュウガク</t>
    </rPh>
    <rPh sb="3" eb="4">
      <t>ジ</t>
    </rPh>
    <phoneticPr fontId="2"/>
  </si>
  <si>
    <r>
      <rPr>
        <b/>
        <sz val="11"/>
        <rFont val="Meiryo UI"/>
        <family val="3"/>
        <charset val="128"/>
      </rPr>
      <t xml:space="preserve"> </t>
    </r>
    <r>
      <rPr>
        <sz val="9"/>
        <rFont val="Meiryo UI"/>
        <family val="3"/>
        <charset val="128"/>
      </rPr>
      <t>(ア)＋(イ)＋(ウ)</t>
    </r>
    <phoneticPr fontId="2"/>
  </si>
  <si>
    <r>
      <rPr>
        <b/>
        <sz val="11"/>
        <rFont val="Meiryo UI"/>
        <family val="3"/>
        <charset val="128"/>
      </rPr>
      <t xml:space="preserve"> </t>
    </r>
    <r>
      <rPr>
        <sz val="9"/>
        <rFont val="Meiryo UI"/>
        <family val="3"/>
        <charset val="128"/>
      </rPr>
      <t>(ア)＋(イ)＋(ウ)－(エ)</t>
    </r>
    <phoneticPr fontId="2"/>
  </si>
  <si>
    <r>
      <rPr>
        <b/>
        <sz val="12"/>
        <rFont val="Meiryo UI"/>
        <family val="3"/>
        <charset val="128"/>
      </rPr>
      <t xml:space="preserve"> 保険料</t>
    </r>
    <r>
      <rPr>
        <b/>
        <sz val="11"/>
        <rFont val="Meiryo UI"/>
        <family val="3"/>
        <charset val="128"/>
      </rPr>
      <t/>
    </r>
    <phoneticPr fontId="2"/>
  </si>
  <si>
    <t xml:space="preserve"> (ア)＋(イ)＋(ウ)</t>
  </si>
  <si>
    <t>保険料</t>
    <phoneticPr fontId="2"/>
  </si>
  <si>
    <r>
      <t>保険料</t>
    </r>
    <r>
      <rPr>
        <b/>
        <sz val="11"/>
        <rFont val="Meiryo UI"/>
        <family val="3"/>
        <charset val="128"/>
      </rPr>
      <t/>
    </r>
    <phoneticPr fontId="2"/>
  </si>
  <si>
    <t>| |</t>
    <phoneticPr fontId="2"/>
  </si>
  <si>
    <r>
      <t>…　</t>
    </r>
    <r>
      <rPr>
        <sz val="12"/>
        <rFont val="Meiryo UI"/>
        <family val="3"/>
        <charset val="128"/>
      </rPr>
      <t>②</t>
    </r>
    <phoneticPr fontId="2"/>
  </si>
  <si>
    <r>
      <t>…　</t>
    </r>
    <r>
      <rPr>
        <sz val="12"/>
        <rFont val="Meiryo UI"/>
        <family val="3"/>
        <charset val="128"/>
      </rPr>
      <t>①</t>
    </r>
    <phoneticPr fontId="2"/>
  </si>
  <si>
    <r>
      <t>　…　</t>
    </r>
    <r>
      <rPr>
        <sz val="12"/>
        <rFont val="Meiryo UI"/>
        <family val="3"/>
        <charset val="128"/>
      </rPr>
      <t>③</t>
    </r>
    <phoneticPr fontId="2"/>
  </si>
  <si>
    <t>未就学児</t>
    <rPh sb="0" eb="4">
      <t>ミシュウガクジ</t>
    </rPh>
    <phoneticPr fontId="2"/>
  </si>
  <si>
    <t>加入しない</t>
    <rPh sb="0" eb="2">
      <t>カニュウ</t>
    </rPh>
    <phoneticPr fontId="2"/>
  </si>
  <si>
    <t>基礎分</t>
    <rPh sb="0" eb="2">
      <t>キソ</t>
    </rPh>
    <rPh sb="2" eb="3">
      <t>ブン</t>
    </rPh>
    <phoneticPr fontId="2"/>
  </si>
  <si>
    <t>平等割</t>
    <rPh sb="0" eb="2">
      <t>ビョウドウ</t>
    </rPh>
    <rPh sb="2" eb="3">
      <t>ワリ</t>
    </rPh>
    <phoneticPr fontId="2"/>
  </si>
  <si>
    <t>基礎分</t>
    <phoneticPr fontId="2"/>
  </si>
  <si>
    <t>基礎分減免額</t>
    <rPh sb="3" eb="6">
      <t>ゲンメンガク</t>
    </rPh>
    <phoneticPr fontId="2"/>
  </si>
  <si>
    <t>基礎分減額額</t>
    <rPh sb="3" eb="5">
      <t>ゲンガク</t>
    </rPh>
    <rPh sb="5" eb="6">
      <t>ガク</t>
    </rPh>
    <phoneticPr fontId="2"/>
  </si>
  <si>
    <t>均等割と平等割を７割減額しています。</t>
    <rPh sb="0" eb="3">
      <t>キントウワ</t>
    </rPh>
    <rPh sb="9" eb="10">
      <t>ワリ</t>
    </rPh>
    <rPh sb="10" eb="12">
      <t>ゲンガク</t>
    </rPh>
    <phoneticPr fontId="2"/>
  </si>
  <si>
    <t>均等割と平等割を５割減額しています。</t>
    <rPh sb="9" eb="10">
      <t>ワリ</t>
    </rPh>
    <rPh sb="10" eb="12">
      <t>ゲンガク</t>
    </rPh>
    <phoneticPr fontId="2"/>
  </si>
  <si>
    <t>均等割と平等割を２割減額しています。</t>
    <rPh sb="10" eb="12">
      <t>ゲンガク</t>
    </rPh>
    <phoneticPr fontId="2"/>
  </si>
  <si>
    <t>平等割</t>
    <phoneticPr fontId="2"/>
  </si>
  <si>
    <t>平等割（医療）</t>
    <rPh sb="4" eb="6">
      <t>イリョウ</t>
    </rPh>
    <phoneticPr fontId="2"/>
  </si>
  <si>
    <t>平等割（支援）</t>
    <rPh sb="4" eb="6">
      <t>シエン</t>
    </rPh>
    <phoneticPr fontId="2"/>
  </si>
  <si>
    <t>平等割（介護）</t>
    <rPh sb="4" eb="6">
      <t>カイゴ</t>
    </rPh>
    <phoneticPr fontId="2"/>
  </si>
  <si>
    <t>年金所得（軽減判定）</t>
    <rPh sb="0" eb="2">
      <t>ネンキン</t>
    </rPh>
    <rPh sb="2" eb="4">
      <t>ショトク</t>
    </rPh>
    <rPh sb="5" eb="9">
      <t>ケイゲンハンテイ</t>
    </rPh>
    <phoneticPr fontId="2"/>
  </si>
  <si>
    <t>調整控除（65以上軽減用）</t>
    <rPh sb="0" eb="2">
      <t>チョウセイ</t>
    </rPh>
    <rPh sb="2" eb="4">
      <t>コウジョ</t>
    </rPh>
    <rPh sb="7" eb="9">
      <t>イジョウ</t>
    </rPh>
    <rPh sb="9" eb="12">
      <t>ケイゲンヨウ</t>
    </rPh>
    <phoneticPr fontId="2"/>
  </si>
  <si>
    <t>給与所得（調整控除後）（65以上軽減用）</t>
    <phoneticPr fontId="2"/>
  </si>
  <si>
    <t>.</t>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</si>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</sst>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円&quot;;&quot;▲ &quot;#,##0&quot;円&quot;"/>
    <numFmt numFmtId="177" formatCode="General&quot;人&quot;"/>
    <numFmt numFmtId="178" formatCode="#,##0_ &quot;年度&quot;"/>
    <numFmt numFmtId="179" formatCode="#,##0.0000_ ;[Red]\-#,##0.0000\ "/>
    <numFmt numFmtId="180" formatCode="#,##0_ "/>
    <numFmt numFmtId="181" formatCode="#,##0&quot;人&quot;"/>
    <numFmt numFmtId="182" formatCode="#,##0_);[Red]\(#,##0\)"/>
    <numFmt numFmtId="183" formatCode="#,##0_ ;[Red]\-#,##0\ "/>
    <numFmt numFmtId="184" formatCode="#,##0.00000_);[Red]\(#,##0.00000\)"/>
    <numFmt numFmtId="185" formatCode="0.0;[Red]0.0"/>
    <numFmt numFmtId="186" formatCode="#,##0;[Red]#,##0"/>
  </numFmts>
  <fonts count="60">
    <font>
      <sz val="11"/>
      <name val="ＭＳ Ｐゴシック"/>
      <family val="3"/>
      <charset val="128"/>
    </font>
    <font>
      <sz val="11"/>
      <name val="ＭＳ Ｐゴシック"/>
      <family val="3"/>
      <charset val="128"/>
    </font>
    <font>
      <sz val="6"/>
      <name val="ＭＳ Ｐゴシック"/>
      <family val="3"/>
      <charset val="128"/>
    </font>
    <font>
      <b/>
      <sz val="11"/>
      <color indexed="9"/>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Meiryo UI"/>
      <family val="3"/>
      <charset val="128"/>
    </font>
    <font>
      <sz val="11"/>
      <color indexed="22"/>
      <name val="Meiryo UI"/>
      <family val="3"/>
      <charset val="128"/>
    </font>
    <font>
      <b/>
      <sz val="11"/>
      <name val="Meiryo UI"/>
      <family val="3"/>
      <charset val="128"/>
    </font>
    <font>
      <b/>
      <sz val="10.5"/>
      <name val="Meiryo UI"/>
      <family val="3"/>
      <charset val="128"/>
    </font>
    <font>
      <b/>
      <sz val="10"/>
      <name val="Meiryo UI"/>
      <family val="3"/>
      <charset val="128"/>
    </font>
    <font>
      <sz val="11"/>
      <color indexed="9"/>
      <name val="Meiryo UI"/>
      <family val="3"/>
      <charset val="128"/>
    </font>
    <font>
      <sz val="10"/>
      <name val="Meiryo UI"/>
      <family val="3"/>
      <charset val="128"/>
    </font>
    <font>
      <sz val="12"/>
      <name val="Meiryo UI"/>
      <family val="3"/>
      <charset val="128"/>
    </font>
    <font>
      <sz val="11"/>
      <color indexed="23"/>
      <name val="Meiryo UI"/>
      <family val="3"/>
      <charset val="128"/>
    </font>
    <font>
      <b/>
      <sz val="11"/>
      <color indexed="23"/>
      <name val="Meiryo UI"/>
      <family val="3"/>
      <charset val="128"/>
    </font>
    <font>
      <b/>
      <sz val="8"/>
      <color indexed="23"/>
      <name val="Meiryo UI"/>
      <family val="3"/>
      <charset val="128"/>
    </font>
    <font>
      <b/>
      <sz val="12"/>
      <name val="Meiryo UI"/>
      <family val="3"/>
      <charset val="128"/>
    </font>
    <font>
      <b/>
      <sz val="14"/>
      <name val="Meiryo UI"/>
      <family val="3"/>
      <charset val="128"/>
    </font>
    <font>
      <sz val="11"/>
      <color indexed="63"/>
      <name val="Meiryo UI"/>
      <family val="3"/>
      <charset val="128"/>
    </font>
    <font>
      <b/>
      <sz val="11"/>
      <color indexed="10"/>
      <name val="Meiryo UI"/>
      <family val="3"/>
      <charset val="128"/>
    </font>
    <font>
      <sz val="11"/>
      <color indexed="10"/>
      <name val="Meiryo UI"/>
      <family val="3"/>
      <charset val="128"/>
    </font>
    <font>
      <sz val="10"/>
      <color indexed="23"/>
      <name val="Meiryo UI"/>
      <family val="3"/>
      <charset val="128"/>
    </font>
    <font>
      <sz val="10"/>
      <color theme="0" tint="-0.499984740745262"/>
      <name val="Meiryo UI"/>
      <family val="3"/>
      <charset val="128"/>
    </font>
    <font>
      <b/>
      <sz val="11"/>
      <color indexed="62"/>
      <name val="Meiryo UI"/>
      <family val="3"/>
      <charset val="128"/>
    </font>
    <font>
      <b/>
      <sz val="16"/>
      <name val="Meiryo UI"/>
      <family val="3"/>
      <charset val="128"/>
    </font>
    <font>
      <sz val="11"/>
      <color indexed="8"/>
      <name val="Meiryo UI"/>
      <family val="3"/>
      <charset val="128"/>
    </font>
    <font>
      <sz val="13"/>
      <name val="Meiryo UI"/>
      <family val="3"/>
      <charset val="128"/>
    </font>
    <font>
      <sz val="9"/>
      <name val="Meiryo UI"/>
      <family val="3"/>
      <charset val="128"/>
    </font>
    <font>
      <b/>
      <sz val="16"/>
      <color indexed="10"/>
      <name val="Meiryo UI"/>
      <family val="3"/>
      <charset val="128"/>
    </font>
    <font>
      <sz val="10"/>
      <color indexed="10"/>
      <name val="Meiryo UI"/>
      <family val="3"/>
      <charset val="128"/>
    </font>
    <font>
      <b/>
      <sz val="12"/>
      <color indexed="10"/>
      <name val="Meiryo UI"/>
      <family val="3"/>
      <charset val="128"/>
    </font>
    <font>
      <b/>
      <sz val="18"/>
      <color indexed="10"/>
      <name val="Meiryo UI"/>
      <family val="3"/>
      <charset val="128"/>
    </font>
    <font>
      <sz val="11"/>
      <color rgb="FFFF0000"/>
      <name val="Meiryo UI"/>
      <family val="3"/>
      <charset val="128"/>
    </font>
    <font>
      <b/>
      <sz val="9"/>
      <color indexed="81"/>
      <name val="MS P ゴシック"/>
      <family val="3"/>
      <charset val="128"/>
    </font>
    <font>
      <b/>
      <sz val="9"/>
      <name val="Meiryo UI"/>
      <family val="3"/>
      <charset val="128"/>
    </font>
    <font>
      <sz val="9"/>
      <name val="ＭＳ Ｐゴシック"/>
      <family val="3"/>
      <charset val="128"/>
    </font>
    <font>
      <sz val="8"/>
      <color rgb="FFFF0000"/>
      <name val="Meiryo UI"/>
      <family val="3"/>
      <charset val="128"/>
    </font>
    <font>
      <sz val="8"/>
      <name val="Meiryo UI"/>
      <family val="3"/>
      <charset val="128"/>
    </font>
    <font>
      <sz val="11"/>
      <color rgb="FF0070C0"/>
      <name val="Meiryo UI"/>
      <family val="3"/>
      <charset val="128"/>
    </font>
    <font>
      <sz val="10"/>
      <color rgb="FF0070C0"/>
      <name val="Meiryo UI"/>
      <family val="3"/>
      <charset val="128"/>
    </font>
    <font>
      <sz val="10"/>
      <color rgb="FFFF0000"/>
      <name val="Meiryo UI"/>
      <family val="3"/>
      <charset val="128"/>
    </font>
    <font>
      <sz val="16"/>
      <color indexed="10"/>
      <name val="Meiryo UI"/>
      <family val="3"/>
      <charset val="128"/>
    </font>
    <font>
      <b/>
      <sz val="11"/>
      <name val="ＭＳ Ｐゴシック"/>
      <family val="3"/>
      <charset val="128"/>
    </font>
    <font>
      <b/>
      <sz val="9"/>
      <color indexed="23"/>
      <name val="Meiryo UI"/>
      <family val="3"/>
      <charset val="128"/>
    </font>
    <font>
      <sz val="11"/>
      <color theme="0"/>
      <name val="Meiryo UI"/>
      <family val="3"/>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5"/>
        <bgColor indexed="64"/>
      </patternFill>
    </fill>
    <fill>
      <patternFill patternType="solid">
        <fgColor indexed="43"/>
        <bgColor indexed="64"/>
      </patternFill>
    </fill>
    <fill>
      <patternFill patternType="solid">
        <fgColor indexed="44"/>
        <bgColor indexed="64"/>
      </patternFill>
    </fill>
    <fill>
      <patternFill patternType="solid">
        <fgColor indexed="33"/>
        <bgColor indexed="64"/>
      </patternFill>
    </fill>
    <fill>
      <patternFill patternType="solid">
        <fgColor indexed="25"/>
        <bgColor indexed="64"/>
      </patternFill>
    </fill>
    <fill>
      <patternFill patternType="solid">
        <fgColor indexed="2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FF99"/>
        <bgColor indexed="64"/>
      </patternFill>
    </fill>
    <fill>
      <patternFill patternType="solid">
        <fgColor rgb="FFCCFFCC"/>
        <bgColor indexed="64"/>
      </patternFill>
    </fill>
    <fill>
      <patternFill patternType="solid">
        <fgColor rgb="FF99CCFF"/>
        <bgColor indexed="64"/>
      </patternFill>
    </fill>
  </fills>
  <borders count="1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ck">
        <color indexed="64"/>
      </right>
      <top style="thick">
        <color indexed="64"/>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bottom/>
      <diagonal/>
    </border>
    <border>
      <left/>
      <right style="thin">
        <color indexed="55"/>
      </right>
      <top style="thin">
        <color indexed="55"/>
      </top>
      <bottom style="thin">
        <color indexed="55"/>
      </bottom>
      <diagonal/>
    </border>
    <border>
      <left/>
      <right style="thin">
        <color indexed="23"/>
      </right>
      <top style="thin">
        <color indexed="23"/>
      </top>
      <bottom style="thin">
        <color indexed="23"/>
      </bottom>
      <diagonal/>
    </border>
    <border>
      <left/>
      <right/>
      <top/>
      <bottom style="medium">
        <color indexed="64"/>
      </bottom>
      <diagonal/>
    </border>
    <border>
      <left/>
      <right/>
      <top/>
      <bottom style="thin">
        <color indexed="55"/>
      </bottom>
      <diagonal/>
    </border>
    <border>
      <left/>
      <right/>
      <top style="thin">
        <color indexed="55"/>
      </top>
      <bottom/>
      <diagonal/>
    </border>
    <border>
      <left/>
      <right style="thin">
        <color indexed="55"/>
      </right>
      <top style="thin">
        <color indexed="55"/>
      </top>
      <bottom/>
      <diagonal/>
    </border>
    <border>
      <left/>
      <right style="thin">
        <color indexed="55"/>
      </right>
      <top/>
      <bottom/>
      <diagonal/>
    </border>
    <border>
      <left/>
      <right style="thin">
        <color indexed="55"/>
      </right>
      <top/>
      <bottom style="thin">
        <color indexed="55"/>
      </bottom>
      <diagonal/>
    </border>
    <border>
      <left/>
      <right/>
      <top style="thin">
        <color indexed="55"/>
      </top>
      <bottom style="thin">
        <color indexed="55"/>
      </bottom>
      <diagonal/>
    </border>
    <border>
      <left/>
      <right/>
      <top/>
      <bottom style="dotted">
        <color indexed="22"/>
      </bottom>
      <diagonal/>
    </border>
    <border>
      <left/>
      <right/>
      <top style="medium">
        <color indexed="23"/>
      </top>
      <bottom style="medium">
        <color indexed="23"/>
      </bottom>
      <diagonal/>
    </border>
    <border>
      <left/>
      <right style="dotted">
        <color indexed="23"/>
      </right>
      <top style="medium">
        <color indexed="23"/>
      </top>
      <bottom style="medium">
        <color indexed="23"/>
      </bottom>
      <diagonal/>
    </border>
    <border>
      <left/>
      <right/>
      <top style="thin">
        <color indexed="23"/>
      </top>
      <bottom style="thin">
        <color indexed="23"/>
      </bottom>
      <diagonal/>
    </border>
    <border>
      <left/>
      <right style="dotted">
        <color indexed="23"/>
      </right>
      <top style="thin">
        <color indexed="23"/>
      </top>
      <bottom style="thin">
        <color indexed="23"/>
      </bottom>
      <diagonal/>
    </border>
    <border>
      <left style="thin">
        <color indexed="23"/>
      </left>
      <right/>
      <top style="thin">
        <color indexed="23"/>
      </top>
      <bottom style="thin">
        <color indexed="23"/>
      </bottom>
      <diagonal/>
    </border>
    <border>
      <left/>
      <right/>
      <top style="dotted">
        <color indexed="22"/>
      </top>
      <bottom style="dotted">
        <color indexed="22"/>
      </bottom>
      <diagonal/>
    </border>
    <border>
      <left/>
      <right style="thin">
        <color indexed="22"/>
      </right>
      <top style="dotted">
        <color indexed="22"/>
      </top>
      <bottom style="dotted">
        <color indexed="22"/>
      </bottom>
      <diagonal/>
    </border>
    <border>
      <left style="thin">
        <color indexed="22"/>
      </left>
      <right/>
      <top style="dotted">
        <color indexed="22"/>
      </top>
      <bottom style="dotted">
        <color indexed="22"/>
      </bottom>
      <diagonal/>
    </border>
    <border>
      <left/>
      <right style="thin">
        <color indexed="22"/>
      </right>
      <top/>
      <bottom/>
      <diagonal/>
    </border>
    <border>
      <left style="thin">
        <color indexed="22"/>
      </left>
      <right/>
      <top/>
      <bottom/>
      <diagonal/>
    </border>
    <border>
      <left style="thin">
        <color indexed="22"/>
      </left>
      <right style="thin">
        <color indexed="22"/>
      </right>
      <top style="dotted">
        <color indexed="22"/>
      </top>
      <bottom/>
      <diagonal/>
    </border>
    <border>
      <left style="thin">
        <color indexed="22"/>
      </left>
      <right style="thin">
        <color indexed="22"/>
      </right>
      <top style="dotted">
        <color indexed="22"/>
      </top>
      <bottom style="dotted">
        <color indexed="22"/>
      </bottom>
      <diagonal/>
    </border>
    <border>
      <left/>
      <right/>
      <top style="dotted">
        <color indexed="22"/>
      </top>
      <bottom/>
      <diagonal/>
    </border>
    <border>
      <left/>
      <right/>
      <top style="dotted">
        <color indexed="22"/>
      </top>
      <bottom style="thin">
        <color indexed="22"/>
      </bottom>
      <diagonal/>
    </border>
    <border>
      <left/>
      <right/>
      <top style="thin">
        <color indexed="22"/>
      </top>
      <bottom style="dotted">
        <color indexed="22"/>
      </bottom>
      <diagonal/>
    </border>
    <border>
      <left style="thin">
        <color indexed="22"/>
      </left>
      <right/>
      <top/>
      <bottom style="dotted">
        <color indexed="22"/>
      </bottom>
      <diagonal/>
    </border>
    <border>
      <left/>
      <right style="thin">
        <color indexed="22"/>
      </right>
      <top/>
      <bottom style="dotted">
        <color indexed="22"/>
      </bottom>
      <diagonal/>
    </border>
    <border>
      <left/>
      <right style="thin">
        <color indexed="9"/>
      </right>
      <top style="dotted">
        <color indexed="22"/>
      </top>
      <bottom style="dotted">
        <color indexed="22"/>
      </bottom>
      <diagonal/>
    </border>
    <border>
      <left/>
      <right style="thin">
        <color indexed="9"/>
      </right>
      <top/>
      <bottom/>
      <diagonal/>
    </border>
    <border>
      <left style="thin">
        <color indexed="9"/>
      </left>
      <right style="thin">
        <color indexed="9"/>
      </right>
      <top style="dotted">
        <color indexed="22"/>
      </top>
      <bottom style="dotted">
        <color indexed="22"/>
      </bottom>
      <diagonal/>
    </border>
    <border>
      <left/>
      <right/>
      <top style="thin">
        <color indexed="9"/>
      </top>
      <bottom/>
      <diagonal/>
    </border>
    <border>
      <left style="medium">
        <color indexed="23"/>
      </left>
      <right/>
      <top style="medium">
        <color indexed="23"/>
      </top>
      <bottom style="medium">
        <color indexed="23"/>
      </bottom>
      <diagonal/>
    </border>
    <border>
      <left style="thin">
        <color indexed="55"/>
      </left>
      <right/>
      <top style="thin">
        <color indexed="55"/>
      </top>
      <bottom style="thin">
        <color indexed="55"/>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top/>
      <bottom style="thick">
        <color indexed="64"/>
      </bottom>
      <diagonal/>
    </border>
    <border>
      <left style="dotted">
        <color indexed="23"/>
      </left>
      <right/>
      <top style="medium">
        <color indexed="23"/>
      </top>
      <bottom style="medium">
        <color indexed="23"/>
      </bottom>
      <diagonal/>
    </border>
    <border>
      <left/>
      <right style="medium">
        <color indexed="23"/>
      </right>
      <top style="medium">
        <color indexed="23"/>
      </top>
      <bottom style="medium">
        <color indexed="23"/>
      </bottom>
      <diagonal/>
    </border>
    <border>
      <left style="thin">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bottom style="thin">
        <color indexed="22"/>
      </bottom>
      <diagonal/>
    </border>
    <border>
      <left style="dotted">
        <color indexed="23"/>
      </left>
      <right/>
      <top style="thin">
        <color indexed="23"/>
      </top>
      <bottom style="thin">
        <color indexed="23"/>
      </bottom>
      <diagonal/>
    </border>
    <border>
      <left/>
      <right/>
      <top/>
      <bottom style="thin">
        <color indexed="9"/>
      </bottom>
      <diagonal/>
    </border>
    <border>
      <left style="thin">
        <color indexed="22"/>
      </left>
      <right style="thin">
        <color indexed="22"/>
      </right>
      <top style="thin">
        <color indexed="22"/>
      </top>
      <bottom style="dashed">
        <color indexed="22"/>
      </bottom>
      <diagonal/>
    </border>
    <border>
      <left style="thin">
        <color indexed="22"/>
      </left>
      <right style="thin">
        <color indexed="22"/>
      </right>
      <top style="dashed">
        <color indexed="22"/>
      </top>
      <bottom style="thin">
        <color indexed="22"/>
      </bottom>
      <diagonal/>
    </border>
    <border>
      <left/>
      <right/>
      <top/>
      <bottom style="thin">
        <color indexed="22"/>
      </bottom>
      <diagonal/>
    </border>
    <border>
      <left style="medium">
        <color theme="0" tint="-0.34998626667073579"/>
      </left>
      <right/>
      <top style="medium">
        <color theme="0" tint="-0.34998626667073579"/>
      </top>
      <bottom style="thin">
        <color theme="0" tint="-0.34998626667073579"/>
      </bottom>
      <diagonal/>
    </border>
    <border>
      <left/>
      <right/>
      <top style="medium">
        <color theme="0" tint="-0.34998626667073579"/>
      </top>
      <bottom style="thin">
        <color theme="0" tint="-0.34998626667073579"/>
      </bottom>
      <diagonal/>
    </border>
    <border>
      <left/>
      <right style="thin">
        <color theme="0" tint="-0.34998626667073579"/>
      </right>
      <top style="medium">
        <color theme="0" tint="-0.34998626667073579"/>
      </top>
      <bottom style="thin">
        <color theme="0" tint="-0.34998626667073579"/>
      </bottom>
      <diagonal/>
    </border>
    <border>
      <left/>
      <right/>
      <top/>
      <bottom style="medium">
        <color indexed="55"/>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uble">
        <color indexed="55"/>
      </top>
      <bottom style="double">
        <color indexed="55"/>
      </bottom>
      <diagonal/>
    </border>
    <border>
      <left style="thin">
        <color indexed="55"/>
      </left>
      <right/>
      <top/>
      <bottom style="thin">
        <color indexed="55"/>
      </bottom>
      <diagonal/>
    </border>
    <border>
      <left/>
      <right/>
      <top style="thin">
        <color indexed="64"/>
      </top>
      <bottom/>
      <diagonal/>
    </border>
    <border>
      <left/>
      <right style="thin">
        <color indexed="9"/>
      </right>
      <top style="thin">
        <color indexed="55"/>
      </top>
      <bottom style="thin">
        <color indexed="55"/>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thin">
        <color indexed="23"/>
      </top>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medium">
        <color indexed="55"/>
      </left>
      <right/>
      <top style="medium">
        <color indexed="55"/>
      </top>
      <bottom style="thin">
        <color indexed="55"/>
      </bottom>
      <diagonal/>
    </border>
    <border>
      <left/>
      <right/>
      <top style="medium">
        <color indexed="55"/>
      </top>
      <bottom style="thin">
        <color indexed="55"/>
      </bottom>
      <diagonal/>
    </border>
    <border>
      <left/>
      <right style="medium">
        <color indexed="55"/>
      </right>
      <top style="medium">
        <color indexed="55"/>
      </top>
      <bottom style="thin">
        <color indexed="55"/>
      </bottom>
      <diagonal/>
    </border>
    <border>
      <left/>
      <right/>
      <top style="thin">
        <color indexed="64"/>
      </top>
      <bottom/>
      <diagonal/>
    </border>
    <border>
      <left/>
      <right style="thin">
        <color indexed="64"/>
      </right>
      <top style="thin">
        <color indexed="64"/>
      </top>
      <bottom/>
      <diagonal/>
    </border>
    <border>
      <left/>
      <right style="double">
        <color indexed="55"/>
      </right>
      <top style="double">
        <color indexed="55"/>
      </top>
      <bottom style="double">
        <color indexed="55"/>
      </bottom>
      <diagonal/>
    </border>
    <border>
      <left style="double">
        <color indexed="55"/>
      </left>
      <right/>
      <top style="double">
        <color indexed="55"/>
      </top>
      <bottom style="double">
        <color indexed="55"/>
      </bottom>
      <diagonal/>
    </border>
    <border>
      <left/>
      <right style="thin">
        <color indexed="55"/>
      </right>
      <top style="double">
        <color indexed="55"/>
      </top>
      <bottom style="double">
        <color indexed="55"/>
      </bottom>
      <diagonal/>
    </border>
    <border>
      <left style="thin">
        <color indexed="55"/>
      </left>
      <right/>
      <top style="thin">
        <color indexed="55"/>
      </top>
      <bottom style="thin">
        <color indexed="64"/>
      </bottom>
      <diagonal/>
    </border>
    <border>
      <left style="thin">
        <color indexed="55"/>
      </left>
      <right/>
      <top style="thin">
        <color indexed="64"/>
      </top>
      <bottom style="thin">
        <color indexed="64"/>
      </bottom>
      <diagonal/>
    </border>
    <border>
      <left style="thin">
        <color indexed="55"/>
      </left>
      <right/>
      <top style="thin">
        <color indexed="64"/>
      </top>
      <bottom/>
      <diagonal/>
    </border>
    <border>
      <left style="thin">
        <color indexed="55"/>
      </left>
      <right/>
      <top style="thin">
        <color indexed="55"/>
      </top>
      <bottom/>
      <diagonal/>
    </border>
    <border>
      <left style="thin">
        <color indexed="55"/>
      </left>
      <right/>
      <top/>
      <bottom/>
      <diagonal/>
    </border>
    <border>
      <left style="thin">
        <color indexed="55"/>
      </left>
      <right/>
      <top style="dotted">
        <color indexed="22"/>
      </top>
      <bottom style="dotted">
        <color indexed="22"/>
      </bottom>
      <diagonal/>
    </border>
    <border>
      <left style="thin">
        <color indexed="55"/>
      </left>
      <right/>
      <top/>
      <bottom style="double">
        <color indexed="55"/>
      </bottom>
      <diagonal/>
    </border>
    <border>
      <left style="thin">
        <color indexed="55"/>
      </left>
      <right/>
      <top/>
      <bottom style="thin">
        <color indexed="64"/>
      </bottom>
      <diagonal/>
    </border>
    <border>
      <left/>
      <right/>
      <top style="thin">
        <color indexed="23"/>
      </top>
      <bottom style="thin">
        <color indexed="23"/>
      </bottom>
      <diagonal/>
    </border>
    <border>
      <left/>
      <right/>
      <top style="thin">
        <color indexed="23"/>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indexed="64"/>
      </left>
      <right style="thin">
        <color indexed="64"/>
      </right>
      <top style="medium">
        <color indexed="64"/>
      </top>
      <bottom style="thin">
        <color indexed="64"/>
      </bottom>
      <diagonal/>
    </border>
    <border>
      <left style="thin">
        <color indexed="55"/>
      </left>
      <right style="thin">
        <color indexed="55"/>
      </right>
      <top/>
      <bottom/>
      <diagonal/>
    </border>
    <border>
      <left style="thin">
        <color indexed="55"/>
      </left>
      <right style="thin">
        <color indexed="55"/>
      </right>
      <top/>
      <bottom style="thin">
        <color indexed="55"/>
      </bottom>
      <diagonal/>
    </border>
    <border>
      <left/>
      <right/>
      <top style="dotted">
        <color indexed="55"/>
      </top>
      <bottom/>
      <diagonal/>
    </border>
    <border>
      <left style="thin">
        <color auto="1"/>
      </left>
      <right style="thin">
        <color auto="1"/>
      </right>
      <top/>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style="thin">
        <color auto="1"/>
      </right>
      <top style="medium">
        <color auto="1"/>
      </top>
      <bottom style="medium">
        <color auto="1"/>
      </bottom>
      <diagonal/>
    </border>
    <border>
      <left/>
      <right/>
      <top style="thin">
        <color indexed="55"/>
      </top>
      <bottom style="thin">
        <color indexed="55"/>
      </bottom>
      <diagonal/>
    </border>
    <border>
      <left style="hair">
        <color indexed="55"/>
      </left>
      <right/>
      <top style="thin">
        <color indexed="55"/>
      </top>
      <bottom style="thin">
        <color indexed="55"/>
      </bottom>
      <diagonal/>
    </border>
    <border>
      <left/>
      <right style="hair">
        <color indexed="55"/>
      </right>
      <top style="thin">
        <color indexed="55"/>
      </top>
      <bottom style="thin">
        <color indexed="55"/>
      </bottom>
      <diagonal/>
    </border>
    <border>
      <left/>
      <right/>
      <top style="thin">
        <color indexed="55"/>
      </top>
      <bottom/>
      <diagonal/>
    </border>
    <border>
      <left/>
      <right/>
      <top/>
      <bottom style="double">
        <color indexed="55"/>
      </bottom>
      <diagonal/>
    </border>
    <border>
      <left style="thin">
        <color indexed="64"/>
      </left>
      <right style="thin">
        <color indexed="64"/>
      </right>
      <top style="thin">
        <color indexed="64"/>
      </top>
      <bottom style="thin">
        <color indexed="64"/>
      </bottom>
      <diagonal/>
    </border>
    <border>
      <left style="thin">
        <color indexed="55"/>
      </left>
      <right/>
      <top style="thin">
        <color indexed="64"/>
      </top>
      <bottom/>
      <diagonal/>
    </border>
    <border>
      <left style="thin">
        <color indexed="55"/>
      </left>
      <right/>
      <top/>
      <bottom style="dotted">
        <color indexed="22"/>
      </bottom>
      <diagonal/>
    </border>
    <border>
      <left style="thin">
        <color indexed="55"/>
      </left>
      <right/>
      <top style="thin">
        <color indexed="55"/>
      </top>
      <bottom/>
      <diagonal/>
    </border>
    <border>
      <left/>
      <right style="thin">
        <color indexed="55"/>
      </right>
      <top style="thin">
        <color indexed="55"/>
      </top>
      <bottom/>
      <diagonal/>
    </border>
    <border>
      <left style="thin">
        <color indexed="22"/>
      </left>
      <right style="thin">
        <color indexed="22"/>
      </right>
      <top style="thin">
        <color indexed="22"/>
      </top>
      <bottom/>
      <diagonal/>
    </border>
    <border>
      <left style="thin">
        <color indexed="55"/>
      </left>
      <right/>
      <top style="dotted">
        <color indexed="22"/>
      </top>
      <bottom/>
      <diagonal/>
    </border>
    <border>
      <left style="thin">
        <color indexed="22"/>
      </left>
      <right/>
      <top style="dotted">
        <color indexed="22"/>
      </top>
      <bottom/>
      <diagonal/>
    </border>
    <border>
      <left style="thin">
        <color indexed="55"/>
      </left>
      <right/>
      <top style="dotted">
        <color indexed="55"/>
      </top>
      <bottom/>
      <diagonal/>
    </border>
    <border>
      <left/>
      <right/>
      <top/>
      <bottom style="dotted">
        <color indexed="55"/>
      </bottom>
      <diagonal/>
    </border>
    <border>
      <left style="thin">
        <color indexed="55"/>
      </left>
      <right/>
      <top style="thin">
        <color indexed="64"/>
      </top>
      <bottom/>
      <diagonal/>
    </border>
    <border>
      <left/>
      <right style="thin">
        <color indexed="55"/>
      </right>
      <top/>
      <bottom style="double">
        <color indexed="55"/>
      </bottom>
      <diagonal/>
    </border>
    <border>
      <left style="thin">
        <color indexed="9"/>
      </left>
      <right style="thin">
        <color indexed="9"/>
      </right>
      <top style="dotted">
        <color indexed="22"/>
      </top>
      <bottom/>
      <diagonal/>
    </border>
    <border>
      <left style="thin">
        <color indexed="55"/>
      </left>
      <right/>
      <top/>
      <bottom style="dotted">
        <color indexed="55"/>
      </bottom>
      <diagonal/>
    </border>
    <border>
      <left style="thin">
        <color indexed="55"/>
      </left>
      <right/>
      <top style="thin">
        <color indexed="55"/>
      </top>
      <bottom/>
      <diagonal/>
    </border>
    <border>
      <left/>
      <right/>
      <top style="thin">
        <color indexed="55"/>
      </top>
      <bottom/>
      <diagonal/>
    </border>
    <border>
      <left/>
      <right style="thin">
        <color indexed="55"/>
      </right>
      <top style="thin">
        <color indexed="55"/>
      </top>
      <bottom/>
      <diagonal/>
    </border>
    <border>
      <left/>
      <right style="thin">
        <color indexed="22"/>
      </right>
      <top style="dotted">
        <color indexed="22"/>
      </top>
      <bottom/>
      <diagonal/>
    </border>
    <border>
      <left style="thin">
        <color indexed="55"/>
      </left>
      <right style="thin">
        <color indexed="55"/>
      </right>
      <top/>
      <bottom style="thin">
        <color indexed="64"/>
      </bottom>
      <diagonal/>
    </border>
    <border>
      <left style="thin">
        <color indexed="55"/>
      </left>
      <right style="thin">
        <color indexed="55"/>
      </right>
      <top style="thin">
        <color indexed="64"/>
      </top>
      <bottom/>
      <diagonal/>
    </border>
  </borders>
  <cellStyleXfs count="45">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6" fillId="0" borderId="0" applyNumberFormat="0" applyFill="0" applyBorder="0" applyAlignment="0" applyProtection="0">
      <alignment vertical="center"/>
    </xf>
    <xf numFmtId="0" fontId="3" fillId="20" borderId="1" applyNumberFormat="0" applyAlignment="0" applyProtection="0">
      <alignment vertical="center"/>
    </xf>
    <xf numFmtId="0" fontId="7" fillId="21" borderId="0" applyNumberFormat="0" applyBorder="0" applyAlignment="0" applyProtection="0">
      <alignment vertical="center"/>
    </xf>
    <xf numFmtId="0" fontId="5"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 fillId="0" borderId="0"/>
    <xf numFmtId="0" fontId="5" fillId="0" borderId="0">
      <alignment vertical="center"/>
    </xf>
    <xf numFmtId="0" fontId="19" fillId="4" borderId="0" applyNumberFormat="0" applyBorder="0" applyAlignment="0" applyProtection="0">
      <alignment vertical="center"/>
    </xf>
  </cellStyleXfs>
  <cellXfs count="503">
    <xf numFmtId="0" fontId="0" fillId="0" borderId="0" xfId="0">
      <alignment vertical="center"/>
    </xf>
    <xf numFmtId="0" fontId="20" fillId="24" borderId="0" xfId="0" applyFont="1" applyFill="1">
      <alignment vertical="center"/>
    </xf>
    <xf numFmtId="0" fontId="21" fillId="24" borderId="0" xfId="0" applyFont="1" applyFill="1">
      <alignment vertical="center"/>
    </xf>
    <xf numFmtId="0" fontId="22" fillId="24" borderId="0" xfId="0" applyFont="1" applyFill="1" applyBorder="1" applyAlignment="1">
      <alignment vertical="center"/>
    </xf>
    <xf numFmtId="0" fontId="24" fillId="24" borderId="0" xfId="0" applyFont="1" applyFill="1" applyBorder="1">
      <alignment vertical="center"/>
    </xf>
    <xf numFmtId="0" fontId="20" fillId="24" borderId="0" xfId="0" applyFont="1" applyFill="1" applyBorder="1">
      <alignment vertical="center"/>
    </xf>
    <xf numFmtId="0" fontId="26" fillId="24" borderId="0" xfId="0" applyFont="1" applyFill="1" applyBorder="1" applyAlignment="1">
      <alignment horizontal="center" vertical="center"/>
    </xf>
    <xf numFmtId="0" fontId="20" fillId="24" borderId="0" xfId="0" applyFont="1" applyFill="1" applyBorder="1" applyAlignment="1">
      <alignment vertical="top" wrapText="1"/>
    </xf>
    <xf numFmtId="0" fontId="26" fillId="24" borderId="0" xfId="0" applyFont="1" applyFill="1" applyBorder="1" applyAlignment="1">
      <alignment vertical="top"/>
    </xf>
    <xf numFmtId="0" fontId="20" fillId="24" borderId="0" xfId="0" applyFont="1" applyFill="1" applyAlignment="1">
      <alignment vertical="center"/>
    </xf>
    <xf numFmtId="0" fontId="22" fillId="24" borderId="0" xfId="0" applyFont="1" applyFill="1" applyBorder="1">
      <alignment vertical="center"/>
    </xf>
    <xf numFmtId="0" fontId="20" fillId="24" borderId="0" xfId="0" applyFont="1" applyFill="1" applyBorder="1" applyAlignment="1">
      <alignment horizontal="right" vertical="center"/>
    </xf>
    <xf numFmtId="0" fontId="28" fillId="24" borderId="0" xfId="0" applyFont="1" applyFill="1">
      <alignment vertical="center"/>
    </xf>
    <xf numFmtId="0" fontId="29" fillId="24" borderId="0" xfId="0" applyFont="1" applyFill="1">
      <alignment vertical="center"/>
    </xf>
    <xf numFmtId="0" fontId="30" fillId="24" borderId="0" xfId="0" applyFont="1" applyFill="1">
      <alignment vertical="center"/>
    </xf>
    <xf numFmtId="0" fontId="28" fillId="24" borderId="0" xfId="0" applyFont="1" applyFill="1" applyBorder="1">
      <alignment vertical="center"/>
    </xf>
    <xf numFmtId="180" fontId="20" fillId="25" borderId="19" xfId="0" applyNumberFormat="1" applyFont="1" applyFill="1" applyBorder="1" applyAlignment="1">
      <alignment vertical="center"/>
    </xf>
    <xf numFmtId="180" fontId="20" fillId="24" borderId="0" xfId="0" applyNumberFormat="1" applyFont="1" applyFill="1" applyBorder="1" applyAlignment="1">
      <alignment vertical="center"/>
    </xf>
    <xf numFmtId="0" fontId="20" fillId="24" borderId="0" xfId="0" applyFont="1" applyFill="1" applyBorder="1" applyAlignment="1">
      <alignment vertical="center"/>
    </xf>
    <xf numFmtId="0" fontId="22" fillId="24" borderId="0" xfId="0" applyFont="1" applyFill="1">
      <alignment vertical="center"/>
    </xf>
    <xf numFmtId="0" fontId="28" fillId="24" borderId="0" xfId="0" applyFont="1" applyFill="1" applyBorder="1" applyAlignment="1">
      <alignment vertical="center"/>
    </xf>
    <xf numFmtId="0" fontId="29" fillId="24" borderId="0" xfId="0" applyFont="1" applyFill="1" applyBorder="1" applyAlignment="1">
      <alignment vertical="center"/>
    </xf>
    <xf numFmtId="0" fontId="20" fillId="24" borderId="21" xfId="0" applyFont="1" applyFill="1" applyBorder="1">
      <alignment vertical="center"/>
    </xf>
    <xf numFmtId="0" fontId="20" fillId="24" borderId="17" xfId="0" applyFont="1" applyFill="1" applyBorder="1" applyAlignment="1">
      <alignment vertical="center"/>
    </xf>
    <xf numFmtId="0" fontId="20" fillId="24" borderId="13" xfId="0" applyFont="1" applyFill="1" applyBorder="1" applyAlignment="1">
      <alignment vertical="center"/>
    </xf>
    <xf numFmtId="0" fontId="33" fillId="24" borderId="0" xfId="0" applyFont="1" applyFill="1">
      <alignment vertical="center"/>
    </xf>
    <xf numFmtId="0" fontId="34" fillId="24" borderId="0" xfId="0" applyFont="1" applyFill="1">
      <alignment vertical="center"/>
    </xf>
    <xf numFmtId="0" fontId="35" fillId="24" borderId="0" xfId="0" applyFont="1" applyFill="1">
      <alignment vertical="center"/>
    </xf>
    <xf numFmtId="0" fontId="36" fillId="24" borderId="0" xfId="0" applyFont="1" applyFill="1" applyAlignment="1">
      <alignment horizontal="right" vertical="center"/>
    </xf>
    <xf numFmtId="0" fontId="26" fillId="24" borderId="20" xfId="0" applyFont="1" applyFill="1" applyBorder="1" applyAlignment="1">
      <alignment vertical="center"/>
    </xf>
    <xf numFmtId="0" fontId="22" fillId="24" borderId="0" xfId="0" applyFont="1" applyFill="1" applyAlignment="1">
      <alignment horizontal="right" vertical="center"/>
    </xf>
    <xf numFmtId="0" fontId="37" fillId="24" borderId="0" xfId="0" applyFont="1" applyFill="1" applyAlignment="1">
      <alignment vertical="top"/>
    </xf>
    <xf numFmtId="0" fontId="38" fillId="24" borderId="0" xfId="0" applyFont="1" applyFill="1" applyAlignment="1">
      <alignment horizontal="right" vertical="center"/>
    </xf>
    <xf numFmtId="0" fontId="39" fillId="24" borderId="0" xfId="0" applyFont="1" applyFill="1" applyBorder="1" applyAlignment="1">
      <alignment vertical="center"/>
    </xf>
    <xf numFmtId="0" fontId="20" fillId="24" borderId="0" xfId="0" applyFont="1" applyFill="1" applyAlignment="1">
      <alignment horizontal="center" vertical="center"/>
    </xf>
    <xf numFmtId="0" fontId="20" fillId="24" borderId="0" xfId="0" applyFont="1" applyFill="1" applyBorder="1" applyAlignment="1">
      <alignment horizontal="center" vertical="center"/>
    </xf>
    <xf numFmtId="0" fontId="35" fillId="24" borderId="0" xfId="0" applyFont="1" applyFill="1" applyBorder="1">
      <alignment vertical="center"/>
    </xf>
    <xf numFmtId="0" fontId="20" fillId="24" borderId="23" xfId="0" applyFont="1" applyFill="1" applyBorder="1">
      <alignment vertical="center"/>
    </xf>
    <xf numFmtId="0" fontId="20" fillId="24" borderId="24" xfId="0" applyFont="1" applyFill="1" applyBorder="1">
      <alignment vertical="center"/>
    </xf>
    <xf numFmtId="0" fontId="20" fillId="24" borderId="25" xfId="0" applyFont="1" applyFill="1" applyBorder="1">
      <alignment vertical="center"/>
    </xf>
    <xf numFmtId="0" fontId="20" fillId="28" borderId="0" xfId="0" applyFont="1" applyFill="1" applyBorder="1" applyAlignment="1">
      <alignment horizontal="center" vertical="center"/>
    </xf>
    <xf numFmtId="176" fontId="41" fillId="28" borderId="0" xfId="33" applyNumberFormat="1" applyFont="1" applyFill="1" applyBorder="1">
      <alignment vertical="center"/>
    </xf>
    <xf numFmtId="0" fontId="20" fillId="28" borderId="0" xfId="0" applyFont="1" applyFill="1" applyBorder="1" applyAlignment="1">
      <alignment horizontal="right" vertical="center"/>
    </xf>
    <xf numFmtId="176" fontId="41" fillId="28" borderId="0" xfId="0" applyNumberFormat="1" applyFont="1" applyFill="1" applyBorder="1">
      <alignment vertical="center"/>
    </xf>
    <xf numFmtId="10" fontId="20" fillId="28" borderId="28" xfId="0" applyNumberFormat="1" applyFont="1" applyFill="1" applyBorder="1" applyAlignment="1">
      <alignment vertical="center"/>
    </xf>
    <xf numFmtId="0" fontId="20" fillId="28" borderId="28" xfId="0" applyFont="1" applyFill="1" applyBorder="1" applyAlignment="1">
      <alignment horizontal="center" vertical="center"/>
    </xf>
    <xf numFmtId="0" fontId="20" fillId="28" borderId="28" xfId="0" applyFont="1" applyFill="1" applyBorder="1">
      <alignment vertical="center"/>
    </xf>
    <xf numFmtId="0" fontId="20" fillId="24" borderId="34" xfId="0" applyFont="1" applyFill="1" applyBorder="1" applyAlignment="1">
      <alignment horizontal="center" vertical="center"/>
    </xf>
    <xf numFmtId="176" fontId="41" fillId="24" borderId="46" xfId="33" applyNumberFormat="1" applyFont="1" applyFill="1" applyBorder="1">
      <alignment vertical="center"/>
    </xf>
    <xf numFmtId="0" fontId="20" fillId="24" borderId="34" xfId="0" applyFont="1" applyFill="1" applyBorder="1" applyAlignment="1">
      <alignment horizontal="right" vertical="center"/>
    </xf>
    <xf numFmtId="176" fontId="41" fillId="24" borderId="48" xfId="0" applyNumberFormat="1" applyFont="1" applyFill="1" applyBorder="1">
      <alignment vertical="center"/>
    </xf>
    <xf numFmtId="0" fontId="20" fillId="24" borderId="41" xfId="0" applyFont="1" applyFill="1" applyBorder="1" applyAlignment="1">
      <alignment vertical="center"/>
    </xf>
    <xf numFmtId="0" fontId="20" fillId="24" borderId="36" xfId="0" applyFont="1" applyFill="1" applyBorder="1">
      <alignment vertical="center"/>
    </xf>
    <xf numFmtId="0" fontId="20" fillId="28" borderId="34" xfId="0" applyFont="1" applyFill="1" applyBorder="1" applyAlignment="1">
      <alignment horizontal="center" vertical="center"/>
    </xf>
    <xf numFmtId="176" fontId="41" fillId="28" borderId="34" xfId="33" applyNumberFormat="1" applyFont="1" applyFill="1" applyBorder="1">
      <alignment vertical="center"/>
    </xf>
    <xf numFmtId="0" fontId="20" fillId="28" borderId="34" xfId="0" applyFont="1" applyFill="1" applyBorder="1" applyAlignment="1">
      <alignment horizontal="right" vertical="center"/>
    </xf>
    <xf numFmtId="176" fontId="41" fillId="28" borderId="34" xfId="0" applyNumberFormat="1" applyFont="1" applyFill="1" applyBorder="1">
      <alignment vertical="center"/>
    </xf>
    <xf numFmtId="0" fontId="20" fillId="28" borderId="35" xfId="0" applyFont="1" applyFill="1" applyBorder="1" applyAlignment="1">
      <alignment horizontal="center" vertical="center"/>
    </xf>
    <xf numFmtId="0" fontId="20" fillId="28" borderId="39" xfId="0" applyFont="1" applyFill="1" applyBorder="1" applyAlignment="1">
      <alignment vertical="center"/>
    </xf>
    <xf numFmtId="0" fontId="20" fillId="28" borderId="36" xfId="0" applyFont="1" applyFill="1" applyBorder="1" applyAlignment="1">
      <alignment vertical="center"/>
    </xf>
    <xf numFmtId="176" fontId="41" fillId="24" borderId="47" xfId="33" applyNumberFormat="1" applyFont="1" applyFill="1" applyBorder="1">
      <alignment vertical="center"/>
    </xf>
    <xf numFmtId="176" fontId="41" fillId="24" borderId="18" xfId="0" applyNumberFormat="1" applyFont="1" applyFill="1" applyBorder="1">
      <alignment vertical="center"/>
    </xf>
    <xf numFmtId="0" fontId="20" fillId="24" borderId="40" xfId="0" applyFont="1" applyFill="1" applyBorder="1" applyAlignment="1">
      <alignment vertical="center"/>
    </xf>
    <xf numFmtId="0" fontId="20" fillId="24" borderId="36" xfId="0" applyFont="1" applyFill="1" applyBorder="1" applyAlignment="1">
      <alignment vertical="center"/>
    </xf>
    <xf numFmtId="0" fontId="20" fillId="28" borderId="28" xfId="0" applyFont="1" applyFill="1" applyBorder="1" applyAlignment="1">
      <alignment vertical="center"/>
    </xf>
    <xf numFmtId="0" fontId="20" fillId="28" borderId="36" xfId="0" applyFont="1" applyFill="1" applyBorder="1">
      <alignment vertical="center"/>
    </xf>
    <xf numFmtId="176" fontId="41" fillId="24" borderId="34" xfId="33" applyNumberFormat="1" applyFont="1" applyFill="1" applyBorder="1">
      <alignment vertical="center"/>
    </xf>
    <xf numFmtId="176" fontId="41" fillId="24" borderId="34" xfId="0" applyNumberFormat="1" applyFont="1" applyFill="1" applyBorder="1">
      <alignment vertical="center"/>
    </xf>
    <xf numFmtId="0" fontId="20" fillId="24" borderId="22" xfId="0" applyFont="1" applyFill="1" applyBorder="1" applyAlignment="1">
      <alignment horizontal="center" vertical="center"/>
    </xf>
    <xf numFmtId="0" fontId="42" fillId="24" borderId="22" xfId="0" applyFont="1" applyFill="1" applyBorder="1">
      <alignment vertical="center"/>
    </xf>
    <xf numFmtId="0" fontId="20" fillId="24" borderId="22" xfId="0" applyFont="1" applyFill="1" applyBorder="1">
      <alignment vertical="center"/>
    </xf>
    <xf numFmtId="176" fontId="20" fillId="24" borderId="22" xfId="0" applyNumberFormat="1" applyFont="1" applyFill="1" applyBorder="1">
      <alignment vertical="center"/>
    </xf>
    <xf numFmtId="0" fontId="20" fillId="24" borderId="26" xfId="0" applyFont="1" applyFill="1" applyBorder="1">
      <alignment vertical="center"/>
    </xf>
    <xf numFmtId="0" fontId="20" fillId="28" borderId="0" xfId="0" applyFont="1" applyFill="1" applyBorder="1">
      <alignment vertical="center"/>
    </xf>
    <xf numFmtId="176" fontId="41" fillId="24" borderId="48" xfId="33" applyNumberFormat="1" applyFont="1" applyFill="1" applyBorder="1">
      <alignment vertical="center"/>
    </xf>
    <xf numFmtId="0" fontId="20" fillId="28" borderId="37" xfId="0" applyFont="1" applyFill="1" applyBorder="1" applyAlignment="1">
      <alignment horizontal="center" vertical="center"/>
    </xf>
    <xf numFmtId="0" fontId="20" fillId="28" borderId="38" xfId="0" applyFont="1" applyFill="1" applyBorder="1" applyAlignment="1">
      <alignment horizontal="center" vertical="center"/>
    </xf>
    <xf numFmtId="0" fontId="20" fillId="24" borderId="35" xfId="0" applyFont="1" applyFill="1" applyBorder="1" applyAlignment="1">
      <alignment horizontal="center" vertical="center"/>
    </xf>
    <xf numFmtId="0" fontId="20" fillId="24" borderId="36" xfId="0" applyFont="1" applyFill="1" applyBorder="1" applyAlignment="1">
      <alignment horizontal="center" vertical="center"/>
    </xf>
    <xf numFmtId="0" fontId="42" fillId="24" borderId="0" xfId="0" applyFont="1" applyFill="1" applyBorder="1">
      <alignment vertical="center"/>
    </xf>
    <xf numFmtId="176" fontId="20" fillId="24" borderId="0" xfId="0" applyNumberFormat="1" applyFont="1" applyFill="1" applyBorder="1">
      <alignment vertical="center"/>
    </xf>
    <xf numFmtId="0" fontId="22" fillId="24" borderId="0" xfId="0" applyFont="1" applyFill="1" applyBorder="1" applyAlignment="1">
      <alignment horizontal="center" vertical="center"/>
    </xf>
    <xf numFmtId="0" fontId="20" fillId="24" borderId="0" xfId="0" applyFont="1" applyFill="1" applyBorder="1" applyAlignment="1">
      <alignment horizontal="left" vertical="center"/>
    </xf>
    <xf numFmtId="176" fontId="41" fillId="28" borderId="49" xfId="33" applyNumberFormat="1" applyFont="1" applyFill="1" applyBorder="1">
      <alignment vertical="center"/>
    </xf>
    <xf numFmtId="176" fontId="41" fillId="28" borderId="49" xfId="0" applyNumberFormat="1" applyFont="1" applyFill="1" applyBorder="1">
      <alignment vertical="center"/>
    </xf>
    <xf numFmtId="0" fontId="20" fillId="28" borderId="45" xfId="0" applyFont="1" applyFill="1" applyBorder="1" applyAlignment="1">
      <alignment horizontal="center" vertical="center"/>
    </xf>
    <xf numFmtId="0" fontId="20" fillId="28" borderId="44" xfId="0" applyFont="1" applyFill="1" applyBorder="1">
      <alignment vertical="center"/>
    </xf>
    <xf numFmtId="0" fontId="20" fillId="24" borderId="42" xfId="0" applyFont="1" applyFill="1" applyBorder="1" applyAlignment="1">
      <alignment vertical="center"/>
    </xf>
    <xf numFmtId="0" fontId="20" fillId="28" borderId="40" xfId="0" applyFont="1" applyFill="1" applyBorder="1" applyAlignment="1">
      <alignment horizontal="center" vertical="center"/>
    </xf>
    <xf numFmtId="0" fontId="20" fillId="24" borderId="40" xfId="0" applyFont="1" applyFill="1" applyBorder="1" applyAlignment="1">
      <alignment horizontal="center" vertical="center"/>
    </xf>
    <xf numFmtId="0" fontId="20" fillId="28" borderId="43" xfId="0" applyFont="1" applyFill="1" applyBorder="1" applyAlignment="1">
      <alignment vertical="center"/>
    </xf>
    <xf numFmtId="0" fontId="20" fillId="0" borderId="0" xfId="0" applyFont="1" applyBorder="1">
      <alignment vertical="center"/>
    </xf>
    <xf numFmtId="0" fontId="41" fillId="24" borderId="0" xfId="0" applyFont="1" applyFill="1" applyBorder="1" applyAlignment="1">
      <alignment horizontal="center" vertical="center"/>
    </xf>
    <xf numFmtId="0" fontId="20" fillId="24" borderId="25" xfId="0" applyFont="1" applyFill="1" applyBorder="1" applyAlignment="1">
      <alignment vertical="center"/>
    </xf>
    <xf numFmtId="0" fontId="20" fillId="24" borderId="21" xfId="0" applyFont="1" applyFill="1" applyBorder="1" applyAlignment="1">
      <alignment horizontal="center" vertical="center"/>
    </xf>
    <xf numFmtId="0" fontId="22" fillId="24" borderId="21" xfId="0" applyFont="1" applyFill="1" applyBorder="1" applyAlignment="1">
      <alignment horizontal="center" vertical="center"/>
    </xf>
    <xf numFmtId="0" fontId="31" fillId="24" borderId="21" xfId="0" applyFont="1" applyFill="1" applyBorder="1" applyAlignment="1">
      <alignment horizontal="right" vertical="center"/>
    </xf>
    <xf numFmtId="0" fontId="22" fillId="24" borderId="21" xfId="0" applyFont="1" applyFill="1" applyBorder="1">
      <alignment vertical="center"/>
    </xf>
    <xf numFmtId="0" fontId="31" fillId="24" borderId="0" xfId="0" applyFont="1" applyFill="1" applyBorder="1" applyAlignment="1">
      <alignment horizontal="right" vertical="center"/>
    </xf>
    <xf numFmtId="176" fontId="45" fillId="24" borderId="0" xfId="0" applyNumberFormat="1" applyFont="1" applyFill="1" applyBorder="1" applyAlignment="1">
      <alignment horizontal="center" vertical="center"/>
    </xf>
    <xf numFmtId="0" fontId="45" fillId="24" borderId="0" xfId="0" applyFont="1" applyFill="1" applyBorder="1" applyAlignment="1">
      <alignment horizontal="center" vertical="center"/>
    </xf>
    <xf numFmtId="176" fontId="34" fillId="24" borderId="0" xfId="0" applyNumberFormat="1" applyFont="1" applyFill="1" applyBorder="1" applyAlignment="1">
      <alignment horizontal="right" vertical="center"/>
    </xf>
    <xf numFmtId="0" fontId="32" fillId="29" borderId="50" xfId="0" applyFont="1" applyFill="1" applyBorder="1" applyAlignment="1">
      <alignment horizontal="left" vertical="center" indent="1"/>
    </xf>
    <xf numFmtId="0" fontId="31" fillId="29" borderId="29" xfId="0" applyFont="1" applyFill="1" applyBorder="1" applyAlignment="1">
      <alignment horizontal="left" vertical="center" indent="1"/>
    </xf>
    <xf numFmtId="0" fontId="31" fillId="29" borderId="30" xfId="0" applyFont="1" applyFill="1" applyBorder="1" applyAlignment="1">
      <alignment horizontal="left" vertical="center" indent="1"/>
    </xf>
    <xf numFmtId="0" fontId="31" fillId="29" borderId="31" xfId="0" applyFont="1" applyFill="1" applyBorder="1" applyAlignment="1">
      <alignment horizontal="left" vertical="center" indent="1"/>
    </xf>
    <xf numFmtId="0" fontId="31" fillId="29" borderId="32" xfId="0" applyFont="1" applyFill="1" applyBorder="1" applyAlignment="1">
      <alignment horizontal="left" vertical="center" indent="1"/>
    </xf>
    <xf numFmtId="0" fontId="20" fillId="0" borderId="0" xfId="0" applyFont="1">
      <alignment vertical="center"/>
    </xf>
    <xf numFmtId="0" fontId="20" fillId="0" borderId="11" xfId="0" applyFont="1" applyBorder="1">
      <alignment vertical="center"/>
    </xf>
    <xf numFmtId="38" fontId="20" fillId="0" borderId="11" xfId="33" applyFont="1" applyBorder="1">
      <alignment vertical="center"/>
    </xf>
    <xf numFmtId="0" fontId="44" fillId="0" borderId="11" xfId="43" applyFont="1" applyBorder="1">
      <alignment vertical="center"/>
    </xf>
    <xf numFmtId="0" fontId="44" fillId="0" borderId="0" xfId="43" applyFont="1" applyBorder="1">
      <alignment vertical="center"/>
    </xf>
    <xf numFmtId="0" fontId="26" fillId="0" borderId="0" xfId="43" applyFont="1" applyFill="1" applyBorder="1">
      <alignment vertical="center"/>
    </xf>
    <xf numFmtId="0" fontId="40" fillId="0" borderId="0" xfId="43" applyFont="1">
      <alignment vertical="center"/>
    </xf>
    <xf numFmtId="38" fontId="20" fillId="0" borderId="11" xfId="33" applyFont="1" applyBorder="1" applyAlignment="1">
      <alignment horizontal="center" vertical="center"/>
    </xf>
    <xf numFmtId="179" fontId="35" fillId="31" borderId="11" xfId="33" applyNumberFormat="1" applyFont="1" applyFill="1" applyBorder="1" applyAlignment="1">
      <alignment vertical="center"/>
    </xf>
    <xf numFmtId="38" fontId="35" fillId="31" borderId="11" xfId="33" applyFont="1" applyFill="1" applyBorder="1" applyAlignment="1">
      <alignment vertical="center"/>
    </xf>
    <xf numFmtId="179" fontId="35" fillId="26" borderId="11" xfId="33" applyNumberFormat="1" applyFont="1" applyFill="1" applyBorder="1" applyAlignment="1">
      <alignment vertical="center"/>
    </xf>
    <xf numFmtId="38" fontId="35" fillId="26" borderId="11" xfId="33" applyFont="1" applyFill="1" applyBorder="1" applyAlignment="1">
      <alignment vertical="center"/>
    </xf>
    <xf numFmtId="0" fontId="35" fillId="0" borderId="11" xfId="0" applyFont="1" applyBorder="1" applyAlignment="1">
      <alignment vertical="center"/>
    </xf>
    <xf numFmtId="179" fontId="35" fillId="30" borderId="11" xfId="33" applyNumberFormat="1" applyFont="1" applyFill="1" applyBorder="1" applyAlignment="1">
      <alignment vertical="center"/>
    </xf>
    <xf numFmtId="38" fontId="35" fillId="30" borderId="11" xfId="33" applyFont="1" applyFill="1" applyBorder="1" applyAlignment="1">
      <alignment vertical="center"/>
    </xf>
    <xf numFmtId="0" fontId="20" fillId="32" borderId="11" xfId="0" applyFont="1" applyFill="1" applyBorder="1">
      <alignment vertical="center"/>
    </xf>
    <xf numFmtId="0" fontId="20" fillId="0" borderId="11" xfId="43" applyFont="1" applyBorder="1" applyAlignment="1">
      <alignment horizontal="right" vertical="center"/>
    </xf>
    <xf numFmtId="0" fontId="40" fillId="0" borderId="11" xfId="43" applyFont="1" applyBorder="1" applyAlignment="1" applyProtection="1">
      <alignment horizontal="right" vertical="center"/>
      <protection locked="0"/>
    </xf>
    <xf numFmtId="0" fontId="40" fillId="0" borderId="11" xfId="43" applyFont="1" applyBorder="1" applyAlignment="1">
      <alignment horizontal="right" vertical="center"/>
    </xf>
    <xf numFmtId="0" fontId="20" fillId="0" borderId="11" xfId="0" applyFont="1" applyBorder="1" applyAlignment="1">
      <alignment horizontal="right" vertical="center"/>
    </xf>
    <xf numFmtId="0" fontId="40" fillId="0" borderId="0" xfId="43" applyFont="1" applyBorder="1" applyAlignment="1">
      <alignment horizontal="right" vertical="center"/>
    </xf>
    <xf numFmtId="0" fontId="40" fillId="0" borderId="0" xfId="43" applyFont="1" applyBorder="1" applyAlignment="1" applyProtection="1">
      <alignment horizontal="right" vertical="center"/>
      <protection locked="0"/>
    </xf>
    <xf numFmtId="180" fontId="40" fillId="0" borderId="0" xfId="43" applyNumberFormat="1" applyFont="1" applyBorder="1" applyAlignment="1">
      <alignment horizontal="right" vertical="center"/>
    </xf>
    <xf numFmtId="0" fontId="40" fillId="0" borderId="14" xfId="43" applyFont="1" applyFill="1" applyBorder="1" applyAlignment="1">
      <alignment horizontal="right" vertical="center"/>
    </xf>
    <xf numFmtId="0" fontId="40" fillId="0" borderId="0" xfId="43" applyFont="1" applyAlignment="1"/>
    <xf numFmtId="181" fontId="20" fillId="0" borderId="11" xfId="42" applyNumberFormat="1" applyFont="1" applyFill="1" applyBorder="1" applyAlignment="1">
      <alignment horizontal="center" vertical="center"/>
    </xf>
    <xf numFmtId="38" fontId="35" fillId="0" borderId="11" xfId="33" applyFont="1" applyFill="1" applyBorder="1" applyAlignment="1">
      <alignment vertical="center"/>
    </xf>
    <xf numFmtId="38" fontId="20" fillId="0" borderId="11" xfId="33" applyFont="1" applyFill="1" applyBorder="1" applyAlignment="1">
      <alignment vertical="center"/>
    </xf>
    <xf numFmtId="180" fontId="40" fillId="0" borderId="11" xfId="43" applyNumberFormat="1" applyFont="1" applyBorder="1" applyAlignment="1">
      <alignment horizontal="center" vertical="center"/>
    </xf>
    <xf numFmtId="0" fontId="40" fillId="0" borderId="11" xfId="43" applyFont="1" applyBorder="1">
      <alignment vertical="center"/>
    </xf>
    <xf numFmtId="0" fontId="40" fillId="0" borderId="11" xfId="43" applyFont="1" applyBorder="1" applyAlignment="1">
      <alignment horizontal="center" vertical="center"/>
    </xf>
    <xf numFmtId="0" fontId="35" fillId="0" borderId="11" xfId="43" applyFont="1" applyBorder="1">
      <alignment vertical="center"/>
    </xf>
    <xf numFmtId="0" fontId="20" fillId="0" borderId="14" xfId="0" applyFont="1" applyBorder="1">
      <alignment vertical="center"/>
    </xf>
    <xf numFmtId="0" fontId="20" fillId="0" borderId="15" xfId="0" applyFont="1" applyBorder="1">
      <alignment vertical="center"/>
    </xf>
    <xf numFmtId="0" fontId="20" fillId="0" borderId="16" xfId="0" applyFont="1" applyBorder="1">
      <alignment vertical="center"/>
    </xf>
    <xf numFmtId="38" fontId="20" fillId="0" borderId="11" xfId="33" applyFont="1" applyBorder="1" applyAlignment="1">
      <alignment horizontal="right" vertical="center"/>
    </xf>
    <xf numFmtId="38" fontId="20" fillId="0" borderId="0" xfId="33" applyFont="1">
      <alignment vertical="center"/>
    </xf>
    <xf numFmtId="38" fontId="35" fillId="0" borderId="0" xfId="33" applyFont="1" applyFill="1" applyAlignment="1"/>
    <xf numFmtId="38" fontId="35" fillId="0" borderId="0" xfId="33" applyFont="1" applyAlignment="1"/>
    <xf numFmtId="38" fontId="40" fillId="0" borderId="11" xfId="33" applyFont="1" applyBorder="1">
      <alignment vertical="center"/>
    </xf>
    <xf numFmtId="38" fontId="47" fillId="0" borderId="11" xfId="33" applyFont="1" applyBorder="1" applyAlignment="1">
      <alignment vertical="center"/>
    </xf>
    <xf numFmtId="38" fontId="20" fillId="0" borderId="14" xfId="33" applyFont="1" applyBorder="1">
      <alignment vertical="center"/>
    </xf>
    <xf numFmtId="0" fontId="20" fillId="26" borderId="74" xfId="0" applyFont="1" applyFill="1" applyBorder="1" applyAlignment="1">
      <alignment horizontal="center" vertical="center"/>
    </xf>
    <xf numFmtId="0" fontId="26" fillId="26" borderId="74" xfId="0" applyFont="1" applyFill="1" applyBorder="1" applyAlignment="1">
      <alignment horizontal="left" vertical="center"/>
    </xf>
    <xf numFmtId="38" fontId="40" fillId="0" borderId="76" xfId="33" applyFont="1" applyFill="1" applyBorder="1" applyAlignment="1">
      <alignment horizontal="right" vertical="center"/>
    </xf>
    <xf numFmtId="0" fontId="23" fillId="24" borderId="0" xfId="0" applyFont="1" applyFill="1" applyAlignment="1">
      <alignment horizontal="center" vertical="center" wrapText="1"/>
    </xf>
    <xf numFmtId="38" fontId="20" fillId="0" borderId="0" xfId="0" applyNumberFormat="1" applyFont="1" applyBorder="1">
      <alignment vertical="center"/>
    </xf>
    <xf numFmtId="38" fontId="20" fillId="0" borderId="0" xfId="33" applyFont="1" applyBorder="1">
      <alignment vertical="center"/>
    </xf>
    <xf numFmtId="38" fontId="40" fillId="0" borderId="0" xfId="33" applyFont="1" applyFill="1" applyBorder="1" applyAlignment="1">
      <alignment horizontal="right" vertical="center"/>
    </xf>
    <xf numFmtId="0" fontId="47" fillId="0" borderId="0" xfId="0" applyFont="1">
      <alignment vertical="center"/>
    </xf>
    <xf numFmtId="0" fontId="47" fillId="24" borderId="0" xfId="0" applyFont="1" applyFill="1" applyBorder="1">
      <alignment vertical="center"/>
    </xf>
    <xf numFmtId="183" fontId="20" fillId="0" borderId="11" xfId="0" applyNumberFormat="1" applyFont="1" applyBorder="1">
      <alignment vertical="center"/>
    </xf>
    <xf numFmtId="183" fontId="40" fillId="34" borderId="11" xfId="33" applyNumberFormat="1" applyFont="1" applyFill="1" applyBorder="1" applyAlignment="1">
      <alignment horizontal="right" vertical="center"/>
    </xf>
    <xf numFmtId="183" fontId="20" fillId="0" borderId="11" xfId="33" applyNumberFormat="1" applyFont="1" applyBorder="1">
      <alignment vertical="center"/>
    </xf>
    <xf numFmtId="0" fontId="47" fillId="24" borderId="0" xfId="0" applyFont="1" applyFill="1" applyBorder="1" applyAlignment="1">
      <alignment horizontal="right" vertical="center"/>
    </xf>
    <xf numFmtId="0" fontId="51" fillId="0" borderId="11" xfId="0" applyFont="1" applyBorder="1">
      <alignment vertical="center"/>
    </xf>
    <xf numFmtId="0" fontId="20" fillId="25" borderId="80" xfId="0" applyFont="1" applyFill="1" applyBorder="1" applyAlignment="1">
      <alignment vertical="center"/>
    </xf>
    <xf numFmtId="0" fontId="20" fillId="27" borderId="82" xfId="0" applyFont="1" applyFill="1" applyBorder="1" applyAlignment="1">
      <alignment vertical="center"/>
    </xf>
    <xf numFmtId="0" fontId="20" fillId="26" borderId="82" xfId="0" applyFont="1" applyFill="1" applyBorder="1" applyAlignment="1">
      <alignment vertical="center"/>
    </xf>
    <xf numFmtId="0" fontId="20" fillId="27" borderId="79" xfId="0" applyFont="1" applyFill="1" applyBorder="1" applyAlignment="1">
      <alignment vertical="center"/>
    </xf>
    <xf numFmtId="0" fontId="33" fillId="24" borderId="0" xfId="0" applyFont="1" applyFill="1" applyBorder="1">
      <alignment vertical="center"/>
    </xf>
    <xf numFmtId="0" fontId="34" fillId="24" borderId="0" xfId="0" applyFont="1" applyFill="1" applyBorder="1">
      <alignment vertical="center"/>
    </xf>
    <xf numFmtId="0" fontId="45" fillId="24" borderId="0" xfId="0" applyFont="1" applyFill="1">
      <alignment vertical="center"/>
    </xf>
    <xf numFmtId="38" fontId="20" fillId="35" borderId="11" xfId="33" applyFont="1" applyFill="1" applyBorder="1">
      <alignment vertical="center"/>
    </xf>
    <xf numFmtId="38" fontId="20" fillId="35" borderId="14" xfId="33" applyFont="1" applyFill="1" applyBorder="1">
      <alignment vertical="center"/>
    </xf>
    <xf numFmtId="0" fontId="20" fillId="35" borderId="72" xfId="0" applyFont="1" applyFill="1" applyBorder="1" applyAlignment="1">
      <alignment horizontal="center" vertical="center"/>
    </xf>
    <xf numFmtId="38" fontId="20" fillId="35" borderId="73" xfId="0" applyNumberFormat="1" applyFont="1" applyFill="1" applyBorder="1">
      <alignment vertical="center"/>
    </xf>
    <xf numFmtId="38" fontId="20" fillId="35" borderId="85" xfId="0" applyNumberFormat="1" applyFont="1" applyFill="1" applyBorder="1">
      <alignment vertical="center"/>
    </xf>
    <xf numFmtId="0" fontId="20" fillId="35" borderId="11" xfId="0" applyFont="1" applyFill="1" applyBorder="1" applyAlignment="1">
      <alignment horizontal="center" vertical="center"/>
    </xf>
    <xf numFmtId="0" fontId="20" fillId="35" borderId="14" xfId="0" applyFont="1" applyFill="1" applyBorder="1" applyAlignment="1">
      <alignment horizontal="center" vertical="center"/>
    </xf>
    <xf numFmtId="0" fontId="20" fillId="35" borderId="70" xfId="0" applyFont="1" applyFill="1" applyBorder="1">
      <alignment vertical="center"/>
    </xf>
    <xf numFmtId="0" fontId="20" fillId="35" borderId="84" xfId="0" applyFont="1" applyFill="1" applyBorder="1">
      <alignment vertical="center"/>
    </xf>
    <xf numFmtId="0" fontId="20" fillId="35" borderId="11" xfId="0" applyFont="1" applyFill="1" applyBorder="1">
      <alignment vertical="center"/>
    </xf>
    <xf numFmtId="0" fontId="20" fillId="35" borderId="0" xfId="0" applyFont="1" applyFill="1" applyAlignment="1">
      <alignment horizontal="left" vertical="center"/>
    </xf>
    <xf numFmtId="38" fontId="20" fillId="0" borderId="0" xfId="0" applyNumberFormat="1" applyFont="1">
      <alignment vertical="center"/>
    </xf>
    <xf numFmtId="0" fontId="20" fillId="35" borderId="0" xfId="0" applyFont="1" applyFill="1">
      <alignment vertical="center"/>
    </xf>
    <xf numFmtId="0" fontId="51" fillId="0" borderId="90" xfId="0" applyFont="1" applyBorder="1">
      <alignment vertical="center"/>
    </xf>
    <xf numFmtId="0" fontId="20" fillId="0" borderId="91" xfId="0" applyFont="1" applyBorder="1">
      <alignment vertical="center"/>
    </xf>
    <xf numFmtId="184" fontId="20" fillId="35" borderId="0" xfId="0" applyNumberFormat="1" applyFont="1" applyFill="1">
      <alignment vertical="center"/>
    </xf>
    <xf numFmtId="0" fontId="20" fillId="24" borderId="92" xfId="0" applyFont="1" applyFill="1" applyBorder="1" applyAlignment="1">
      <alignment horizontal="right" vertical="center"/>
    </xf>
    <xf numFmtId="0" fontId="20" fillId="24" borderId="92" xfId="0" applyFont="1" applyFill="1" applyBorder="1">
      <alignment vertical="center"/>
    </xf>
    <xf numFmtId="0" fontId="20" fillId="24" borderId="93" xfId="0" applyFont="1" applyFill="1" applyBorder="1" applyAlignment="1">
      <alignment vertical="center"/>
    </xf>
    <xf numFmtId="0" fontId="20" fillId="24" borderId="74" xfId="0" applyFont="1" applyFill="1" applyBorder="1">
      <alignment vertical="center"/>
    </xf>
    <xf numFmtId="0" fontId="20" fillId="24" borderId="74" xfId="0" applyFont="1" applyFill="1" applyBorder="1" applyAlignment="1">
      <alignment horizontal="center" vertical="center"/>
    </xf>
    <xf numFmtId="0" fontId="44" fillId="24" borderId="74" xfId="0" applyFont="1" applyFill="1" applyBorder="1">
      <alignment vertical="center"/>
    </xf>
    <xf numFmtId="0" fontId="26" fillId="24" borderId="74" xfId="0" applyFont="1" applyFill="1" applyBorder="1" applyAlignment="1">
      <alignment horizontal="right" vertical="center"/>
    </xf>
    <xf numFmtId="0" fontId="31" fillId="26" borderId="93" xfId="0" applyFont="1" applyFill="1" applyBorder="1">
      <alignment vertical="center"/>
    </xf>
    <xf numFmtId="0" fontId="31" fillId="27" borderId="93" xfId="0" applyFont="1" applyFill="1" applyBorder="1">
      <alignment vertical="center"/>
    </xf>
    <xf numFmtId="0" fontId="20" fillId="27" borderId="74" xfId="0" applyFont="1" applyFill="1" applyBorder="1" applyAlignment="1">
      <alignment horizontal="center" vertical="center"/>
    </xf>
    <xf numFmtId="0" fontId="20" fillId="24" borderId="74" xfId="0" applyFont="1" applyFill="1" applyBorder="1" applyAlignment="1">
      <alignment vertical="center"/>
    </xf>
    <xf numFmtId="0" fontId="26" fillId="27" borderId="92" xfId="0" applyFont="1" applyFill="1" applyBorder="1" applyAlignment="1">
      <alignment horizontal="left" vertical="center"/>
    </xf>
    <xf numFmtId="0" fontId="20" fillId="25" borderId="92" xfId="0" applyFont="1" applyFill="1" applyBorder="1">
      <alignment vertical="center"/>
    </xf>
    <xf numFmtId="0" fontId="26" fillId="27" borderId="94" xfId="0" applyFont="1" applyFill="1" applyBorder="1" applyAlignment="1">
      <alignment horizontal="left" vertical="center"/>
    </xf>
    <xf numFmtId="0" fontId="20" fillId="24" borderId="98" xfId="0" applyFont="1" applyFill="1" applyBorder="1" applyAlignment="1">
      <alignment horizontal="center" vertical="center"/>
    </xf>
    <xf numFmtId="0" fontId="20" fillId="24" borderId="99" xfId="0" applyFont="1" applyFill="1" applyBorder="1" applyAlignment="1">
      <alignment horizontal="center" vertical="center"/>
    </xf>
    <xf numFmtId="0" fontId="20" fillId="28" borderId="99" xfId="0" applyFont="1" applyFill="1" applyBorder="1" applyAlignment="1">
      <alignment vertical="center"/>
    </xf>
    <xf numFmtId="0" fontId="20" fillId="24" borderId="100" xfId="0" applyFont="1" applyFill="1" applyBorder="1" applyAlignment="1">
      <alignment vertical="center"/>
    </xf>
    <xf numFmtId="0" fontId="20" fillId="28" borderId="100" xfId="0" applyFont="1" applyFill="1" applyBorder="1" applyAlignment="1">
      <alignment vertical="center"/>
    </xf>
    <xf numFmtId="0" fontId="20" fillId="24" borderId="99" xfId="0" applyFont="1" applyFill="1" applyBorder="1" applyAlignment="1">
      <alignment vertical="center"/>
    </xf>
    <xf numFmtId="0" fontId="20" fillId="24" borderId="75" xfId="0" applyFont="1" applyFill="1" applyBorder="1" applyAlignment="1">
      <alignment horizontal="center" vertical="center"/>
    </xf>
    <xf numFmtId="0" fontId="42" fillId="24" borderId="99" xfId="0" applyFont="1" applyFill="1" applyBorder="1" applyAlignment="1">
      <alignment horizontal="center" vertical="center"/>
    </xf>
    <xf numFmtId="0" fontId="20" fillId="35" borderId="11" xfId="42" applyFont="1" applyFill="1" applyBorder="1" applyAlignment="1">
      <alignment vertical="center"/>
    </xf>
    <xf numFmtId="0" fontId="20" fillId="35" borderId="11" xfId="42" applyFont="1" applyFill="1" applyBorder="1" applyAlignment="1">
      <alignment horizontal="center" vertical="center"/>
    </xf>
    <xf numFmtId="0" fontId="42" fillId="35" borderId="11" xfId="0" applyFont="1" applyFill="1" applyBorder="1">
      <alignment vertical="center"/>
    </xf>
    <xf numFmtId="178" fontId="40" fillId="35" borderId="10" xfId="43" applyNumberFormat="1" applyFont="1" applyFill="1" applyBorder="1" applyAlignment="1">
      <alignment horizontal="center" vertical="center" wrapText="1"/>
    </xf>
    <xf numFmtId="0" fontId="40" fillId="35" borderId="10" xfId="43" applyFont="1" applyFill="1" applyBorder="1" applyAlignment="1">
      <alignment horizontal="center" vertical="center" wrapText="1"/>
    </xf>
    <xf numFmtId="0" fontId="40" fillId="35" borderId="11" xfId="43" applyFont="1" applyFill="1" applyBorder="1" applyAlignment="1">
      <alignment horizontal="center" vertical="center" wrapText="1"/>
    </xf>
    <xf numFmtId="0" fontId="20" fillId="0" borderId="11" xfId="0" applyFont="1" applyFill="1" applyBorder="1">
      <alignment vertical="center"/>
    </xf>
    <xf numFmtId="0" fontId="26" fillId="24" borderId="74" xfId="0" applyFont="1" applyFill="1" applyBorder="1" applyAlignment="1">
      <alignment vertical="center"/>
    </xf>
    <xf numFmtId="0" fontId="20" fillId="0" borderId="0" xfId="0" applyFont="1" applyFill="1">
      <alignment vertical="center"/>
    </xf>
    <xf numFmtId="182" fontId="20" fillId="0" borderId="0" xfId="33" applyNumberFormat="1" applyFont="1" applyFill="1">
      <alignment vertical="center"/>
    </xf>
    <xf numFmtId="185" fontId="35" fillId="0" borderId="11" xfId="0" applyNumberFormat="1" applyFont="1" applyBorder="1">
      <alignment vertical="center"/>
    </xf>
    <xf numFmtId="185" fontId="35" fillId="0" borderId="11" xfId="33" applyNumberFormat="1" applyFont="1" applyFill="1" applyBorder="1" applyAlignment="1">
      <alignment vertical="center"/>
    </xf>
    <xf numFmtId="186" fontId="40" fillId="0" borderId="11" xfId="33" applyNumberFormat="1" applyFont="1" applyBorder="1" applyAlignment="1">
      <alignment horizontal="right" vertical="center"/>
    </xf>
    <xf numFmtId="186" fontId="40" fillId="0" borderId="11" xfId="43" applyNumberFormat="1" applyFont="1" applyBorder="1" applyAlignment="1">
      <alignment horizontal="right" vertical="center"/>
    </xf>
    <xf numFmtId="186" fontId="20" fillId="0" borderId="11" xfId="0" applyNumberFormat="1" applyFont="1" applyBorder="1" applyAlignment="1">
      <alignment horizontal="right" vertical="center"/>
    </xf>
    <xf numFmtId="186" fontId="20" fillId="0" borderId="0" xfId="0" applyNumberFormat="1" applyFont="1">
      <alignment vertical="center"/>
    </xf>
    <xf numFmtId="186" fontId="20" fillId="35" borderId="0" xfId="0" applyNumberFormat="1" applyFont="1" applyFill="1">
      <alignment vertical="center"/>
    </xf>
    <xf numFmtId="186" fontId="20" fillId="0" borderId="86" xfId="0" applyNumberFormat="1" applyFont="1" applyBorder="1">
      <alignment vertical="center"/>
    </xf>
    <xf numFmtId="0" fontId="26" fillId="24" borderId="0" xfId="0" applyFont="1" applyFill="1" applyBorder="1" applyAlignment="1">
      <alignment vertical="center"/>
    </xf>
    <xf numFmtId="176" fontId="32" fillId="24" borderId="0" xfId="0" applyNumberFormat="1" applyFont="1" applyFill="1" applyBorder="1" applyAlignment="1">
      <alignment horizontal="right" vertical="center"/>
    </xf>
    <xf numFmtId="0" fontId="53" fillId="0" borderId="11" xfId="43" applyFont="1" applyBorder="1" applyAlignment="1" applyProtection="1">
      <alignment horizontal="right" vertical="center"/>
      <protection locked="0"/>
    </xf>
    <xf numFmtId="0" fontId="53" fillId="0" borderId="11" xfId="43" applyFont="1" applyBorder="1" applyAlignment="1">
      <alignment horizontal="right" vertical="center"/>
    </xf>
    <xf numFmtId="0" fontId="54" fillId="0" borderId="11" xfId="43" applyFont="1" applyBorder="1">
      <alignment vertical="center"/>
    </xf>
    <xf numFmtId="0" fontId="53" fillId="0" borderId="11" xfId="0" applyFont="1" applyBorder="1">
      <alignment vertical="center"/>
    </xf>
    <xf numFmtId="0" fontId="53" fillId="0" borderId="105" xfId="0" applyFont="1" applyBorder="1">
      <alignment vertical="center"/>
    </xf>
    <xf numFmtId="0" fontId="53" fillId="0" borderId="0" xfId="0" applyFont="1">
      <alignment vertical="center"/>
    </xf>
    <xf numFmtId="0" fontId="55" fillId="0" borderId="11" xfId="43" applyFont="1" applyBorder="1">
      <alignment vertical="center"/>
    </xf>
    <xf numFmtId="0" fontId="55" fillId="0" borderId="105" xfId="43" applyFont="1" applyBorder="1">
      <alignment vertical="center"/>
    </xf>
    <xf numFmtId="0" fontId="53" fillId="35" borderId="11" xfId="0" applyFont="1" applyFill="1" applyBorder="1" applyAlignment="1">
      <alignment horizontal="center" vertical="center"/>
    </xf>
    <xf numFmtId="0" fontId="54" fillId="0" borderId="12" xfId="43" applyFont="1" applyBorder="1">
      <alignment vertical="center"/>
    </xf>
    <xf numFmtId="0" fontId="40" fillId="0" borderId="0" xfId="43" applyFont="1" applyFill="1" applyBorder="1" applyAlignment="1">
      <alignment horizontal="right" vertical="center"/>
    </xf>
    <xf numFmtId="0" fontId="20" fillId="0" borderId="107" xfId="0" applyFont="1" applyBorder="1">
      <alignment vertical="center"/>
    </xf>
    <xf numFmtId="38" fontId="20" fillId="0" borderId="107" xfId="33" applyFont="1" applyBorder="1">
      <alignment vertical="center"/>
    </xf>
    <xf numFmtId="0" fontId="20" fillId="35" borderId="108" xfId="0" applyFont="1" applyFill="1" applyBorder="1">
      <alignment vertical="center"/>
    </xf>
    <xf numFmtId="38" fontId="20" fillId="0" borderId="106" xfId="33" applyFont="1" applyBorder="1">
      <alignment vertical="center"/>
    </xf>
    <xf numFmtId="0" fontId="20" fillId="28" borderId="99" xfId="0" applyFont="1" applyFill="1" applyBorder="1" applyAlignment="1">
      <alignment horizontal="center" vertical="center"/>
    </xf>
    <xf numFmtId="0" fontId="20" fillId="28" borderId="0" xfId="0" applyFont="1" applyFill="1" applyBorder="1" applyAlignment="1">
      <alignment horizontal="left" vertical="center"/>
    </xf>
    <xf numFmtId="0" fontId="27" fillId="28" borderId="0" xfId="0" applyFont="1" applyFill="1" applyBorder="1" applyAlignment="1">
      <alignment horizontal="right" vertical="center"/>
    </xf>
    <xf numFmtId="177" fontId="41" fillId="28" borderId="0" xfId="0" applyNumberFormat="1" applyFont="1" applyFill="1" applyBorder="1" applyAlignment="1">
      <alignment vertical="center"/>
    </xf>
    <xf numFmtId="0" fontId="47" fillId="24" borderId="0" xfId="0" applyFont="1" applyFill="1">
      <alignment vertical="center"/>
    </xf>
    <xf numFmtId="0" fontId="53" fillId="0" borderId="71" xfId="0" applyFont="1" applyBorder="1">
      <alignment vertical="center"/>
    </xf>
    <xf numFmtId="38" fontId="20" fillId="35" borderId="73" xfId="33" applyFont="1" applyFill="1" applyBorder="1">
      <alignment vertical="center"/>
    </xf>
    <xf numFmtId="38" fontId="53" fillId="0" borderId="11" xfId="33" applyFont="1" applyBorder="1">
      <alignment vertical="center"/>
    </xf>
    <xf numFmtId="38" fontId="53" fillId="0" borderId="106" xfId="33" applyFont="1" applyBorder="1">
      <alignment vertical="center"/>
    </xf>
    <xf numFmtId="38" fontId="53" fillId="0" borderId="107" xfId="33" applyFont="1" applyBorder="1">
      <alignment vertical="center"/>
    </xf>
    <xf numFmtId="38" fontId="53" fillId="0" borderId="112" xfId="33" applyFont="1" applyBorder="1">
      <alignment vertical="center"/>
    </xf>
    <xf numFmtId="0" fontId="53" fillId="35" borderId="69" xfId="0" applyFont="1" applyFill="1" applyBorder="1">
      <alignment vertical="center"/>
    </xf>
    <xf numFmtId="0" fontId="53" fillId="35" borderId="70" xfId="0" applyFont="1" applyFill="1" applyBorder="1">
      <alignment vertical="center"/>
    </xf>
    <xf numFmtId="0" fontId="53" fillId="35" borderId="108" xfId="0" applyFont="1" applyFill="1" applyBorder="1">
      <alignment vertical="center"/>
    </xf>
    <xf numFmtId="0" fontId="53" fillId="35" borderId="84" xfId="0" applyFont="1" applyFill="1" applyBorder="1">
      <alignment vertical="center"/>
    </xf>
    <xf numFmtId="0" fontId="20" fillId="35" borderId="72" xfId="0" applyFont="1" applyFill="1" applyBorder="1" applyAlignment="1">
      <alignment vertical="center"/>
    </xf>
    <xf numFmtId="38" fontId="20" fillId="35" borderId="113" xfId="33" applyFont="1" applyFill="1" applyBorder="1">
      <alignment vertical="center"/>
    </xf>
    <xf numFmtId="0" fontId="45" fillId="24" borderId="0" xfId="0" applyFont="1" applyFill="1" applyAlignment="1">
      <alignment vertical="center"/>
    </xf>
    <xf numFmtId="38" fontId="20" fillId="35" borderId="118" xfId="33" applyFont="1" applyFill="1" applyBorder="1">
      <alignment vertical="center"/>
    </xf>
    <xf numFmtId="38" fontId="20" fillId="35" borderId="120" xfId="33" applyFont="1" applyFill="1" applyBorder="1">
      <alignment vertical="center"/>
    </xf>
    <xf numFmtId="38" fontId="20" fillId="35" borderId="121" xfId="33" applyFont="1" applyFill="1" applyBorder="1">
      <alignment vertical="center"/>
    </xf>
    <xf numFmtId="0" fontId="54" fillId="0" borderId="0" xfId="43" applyFont="1" applyBorder="1">
      <alignment vertical="center"/>
    </xf>
    <xf numFmtId="0" fontId="53" fillId="35" borderId="122" xfId="0" applyFont="1" applyFill="1" applyBorder="1">
      <alignment vertical="center"/>
    </xf>
    <xf numFmtId="0" fontId="53" fillId="35" borderId="123" xfId="0" applyFont="1" applyFill="1" applyBorder="1">
      <alignment vertical="center"/>
    </xf>
    <xf numFmtId="38" fontId="53" fillId="0" borderId="119" xfId="33" applyFont="1" applyBorder="1">
      <alignment vertical="center"/>
    </xf>
    <xf numFmtId="0" fontId="53" fillId="0" borderId="0" xfId="0" applyFont="1" applyBorder="1">
      <alignment vertical="center"/>
    </xf>
    <xf numFmtId="0" fontId="26" fillId="24" borderId="0" xfId="0" applyFont="1" applyFill="1" applyBorder="1" applyAlignment="1">
      <alignment vertical="center"/>
    </xf>
    <xf numFmtId="180" fontId="20" fillId="27" borderId="125" xfId="0" applyNumberFormat="1" applyFont="1" applyFill="1" applyBorder="1" applyAlignment="1">
      <alignment vertical="center"/>
    </xf>
    <xf numFmtId="180" fontId="20" fillId="26" borderId="127" xfId="0" applyNumberFormat="1" applyFont="1" applyFill="1" applyBorder="1" applyAlignment="1">
      <alignment vertical="center"/>
    </xf>
    <xf numFmtId="0" fontId="31" fillId="28" borderId="0" xfId="0" applyFont="1" applyFill="1" applyBorder="1" applyAlignment="1">
      <alignment horizontal="left" vertical="center"/>
    </xf>
    <xf numFmtId="176" fontId="41" fillId="28" borderId="0" xfId="0" applyNumberFormat="1" applyFont="1" applyFill="1" applyBorder="1" applyAlignment="1">
      <alignment horizontal="right" vertical="center"/>
    </xf>
    <xf numFmtId="176" fontId="41" fillId="24" borderId="0" xfId="0" applyNumberFormat="1" applyFont="1" applyFill="1" applyBorder="1">
      <alignment vertical="center"/>
    </xf>
    <xf numFmtId="0" fontId="20" fillId="29" borderId="33" xfId="0" applyFont="1" applyFill="1" applyBorder="1" applyAlignment="1">
      <alignment horizontal="left" vertical="center" indent="2"/>
    </xf>
    <xf numFmtId="0" fontId="26" fillId="26" borderId="94" xfId="0" applyFont="1" applyFill="1" applyBorder="1" applyAlignment="1">
      <alignment horizontal="left" vertical="center"/>
    </xf>
    <xf numFmtId="0" fontId="26" fillId="24" borderId="0" xfId="0" applyFont="1" applyFill="1" applyBorder="1" applyAlignment="1">
      <alignment horizontal="right" vertical="center"/>
    </xf>
    <xf numFmtId="176" fontId="43" fillId="0" borderId="74" xfId="0" applyNumberFormat="1" applyFont="1" applyFill="1" applyBorder="1" applyAlignment="1">
      <alignment horizontal="right" vertical="center"/>
    </xf>
    <xf numFmtId="176" fontId="56" fillId="0" borderId="74" xfId="0" applyNumberFormat="1" applyFont="1" applyFill="1" applyBorder="1" applyAlignment="1">
      <alignment vertical="center"/>
    </xf>
    <xf numFmtId="176" fontId="43" fillId="0" borderId="74" xfId="0" applyNumberFormat="1" applyFont="1" applyFill="1" applyBorder="1" applyAlignment="1">
      <alignment vertical="center"/>
    </xf>
    <xf numFmtId="0" fontId="31" fillId="27" borderId="0" xfId="0" applyFont="1" applyFill="1" applyBorder="1">
      <alignment vertical="center"/>
    </xf>
    <xf numFmtId="0" fontId="26" fillId="26" borderId="92" xfId="0" applyFont="1" applyFill="1" applyBorder="1" applyAlignment="1">
      <alignment horizontal="left" vertical="center"/>
    </xf>
    <xf numFmtId="0" fontId="31" fillId="26" borderId="93" xfId="0" applyFont="1" applyFill="1" applyBorder="1" applyAlignment="1">
      <alignment horizontal="center" vertical="center"/>
    </xf>
    <xf numFmtId="0" fontId="31" fillId="27" borderId="93" xfId="0" applyFont="1" applyFill="1" applyBorder="1" applyAlignment="1">
      <alignment horizontal="center" vertical="center"/>
    </xf>
    <xf numFmtId="0" fontId="22" fillId="25" borderId="93" xfId="0" applyFont="1" applyFill="1" applyBorder="1" applyAlignment="1">
      <alignment horizontal="center" vertical="center"/>
    </xf>
    <xf numFmtId="0" fontId="26" fillId="25" borderId="74" xfId="0" applyFont="1" applyFill="1" applyBorder="1" applyAlignment="1">
      <alignment vertical="center"/>
    </xf>
    <xf numFmtId="0" fontId="26" fillId="27" borderId="74" xfId="0" applyFont="1" applyFill="1" applyBorder="1" applyAlignment="1">
      <alignment vertical="center"/>
    </xf>
    <xf numFmtId="180" fontId="20" fillId="0" borderId="0" xfId="0" applyNumberFormat="1" applyFont="1" applyFill="1" applyBorder="1" applyAlignment="1">
      <alignment vertical="center"/>
    </xf>
    <xf numFmtId="180" fontId="20" fillId="36" borderId="127" xfId="0" applyNumberFormat="1" applyFont="1" applyFill="1" applyBorder="1" applyAlignment="1">
      <alignment vertical="center"/>
    </xf>
    <xf numFmtId="186" fontId="40" fillId="0" borderId="130" xfId="43" applyNumberFormat="1" applyFont="1" applyBorder="1" applyAlignment="1">
      <alignment horizontal="right" vertical="center"/>
    </xf>
    <xf numFmtId="0" fontId="26" fillId="24" borderId="0" xfId="0" applyFont="1" applyFill="1" applyBorder="1" applyAlignment="1">
      <alignment vertical="center"/>
    </xf>
    <xf numFmtId="176" fontId="32" fillId="24" borderId="0" xfId="0" applyNumberFormat="1" applyFont="1" applyFill="1" applyBorder="1" applyAlignment="1">
      <alignment horizontal="right" vertical="center"/>
    </xf>
    <xf numFmtId="0" fontId="20" fillId="24" borderId="0" xfId="0" applyFont="1" applyFill="1" applyBorder="1" applyAlignment="1">
      <alignment horizontal="center" vertical="center"/>
    </xf>
    <xf numFmtId="176" fontId="41" fillId="28" borderId="111" xfId="0" applyNumberFormat="1" applyFont="1" applyFill="1" applyBorder="1" applyAlignment="1">
      <alignment horizontal="right" vertical="center"/>
    </xf>
    <xf numFmtId="0" fontId="31" fillId="25" borderId="99" xfId="0" applyFont="1" applyFill="1" applyBorder="1" applyAlignment="1">
      <alignment horizontal="center" vertical="center"/>
    </xf>
    <xf numFmtId="0" fontId="31" fillId="25" borderId="75" xfId="0" applyFont="1" applyFill="1" applyBorder="1" applyAlignment="1">
      <alignment horizontal="center" vertical="center"/>
    </xf>
    <xf numFmtId="0" fontId="31" fillId="27" borderId="99" xfId="0" applyFont="1" applyFill="1" applyBorder="1" applyAlignment="1">
      <alignment horizontal="center" vertical="center"/>
    </xf>
    <xf numFmtId="0" fontId="0" fillId="0" borderId="0" xfId="0" applyBorder="1" applyAlignment="1">
      <alignment horizontal="right" vertical="center"/>
    </xf>
    <xf numFmtId="0" fontId="0" fillId="0" borderId="0" xfId="0" applyBorder="1" applyAlignment="1">
      <alignment vertical="center"/>
    </xf>
    <xf numFmtId="0" fontId="41" fillId="28" borderId="0" xfId="0" applyFont="1" applyFill="1" applyBorder="1" applyAlignment="1">
      <alignment horizontal="center" vertical="center"/>
    </xf>
    <xf numFmtId="0" fontId="20" fillId="24" borderId="132" xfId="0" applyFont="1" applyFill="1" applyBorder="1" applyAlignment="1">
      <alignment horizontal="center" vertical="center"/>
    </xf>
    <xf numFmtId="0" fontId="20" fillId="24" borderId="28" xfId="0" applyFont="1" applyFill="1" applyBorder="1">
      <alignment vertical="center"/>
    </xf>
    <xf numFmtId="0" fontId="20" fillId="24" borderId="28" xfId="0" applyFont="1" applyFill="1" applyBorder="1" applyAlignment="1">
      <alignment horizontal="center" vertical="center"/>
    </xf>
    <xf numFmtId="0" fontId="27" fillId="24" borderId="28" xfId="0" applyFont="1" applyFill="1" applyBorder="1" applyAlignment="1">
      <alignment vertical="center"/>
    </xf>
    <xf numFmtId="176" fontId="41" fillId="24" borderId="28" xfId="0" applyNumberFormat="1" applyFont="1" applyFill="1" applyBorder="1">
      <alignment vertical="center"/>
    </xf>
    <xf numFmtId="177" fontId="41" fillId="24" borderId="28" xfId="0" applyNumberFormat="1" applyFont="1" applyFill="1" applyBorder="1" applyAlignment="1">
      <alignment vertical="center"/>
    </xf>
    <xf numFmtId="0" fontId="31" fillId="27" borderId="133" xfId="0" applyFont="1" applyFill="1" applyBorder="1" applyAlignment="1">
      <alignment horizontal="center" vertical="center"/>
    </xf>
    <xf numFmtId="0" fontId="20" fillId="24" borderId="133" xfId="0" applyFont="1" applyFill="1" applyBorder="1" applyAlignment="1">
      <alignment horizontal="center" vertical="center"/>
    </xf>
    <xf numFmtId="0" fontId="42" fillId="24" borderId="128" xfId="0" applyFont="1" applyFill="1" applyBorder="1">
      <alignment vertical="center"/>
    </xf>
    <xf numFmtId="0" fontId="20" fillId="24" borderId="128" xfId="0" applyFont="1" applyFill="1" applyBorder="1" applyAlignment="1">
      <alignment horizontal="center" vertical="center"/>
    </xf>
    <xf numFmtId="0" fontId="20" fillId="24" borderId="128" xfId="0" applyFont="1" applyFill="1" applyBorder="1">
      <alignment vertical="center"/>
    </xf>
    <xf numFmtId="176" fontId="20" fillId="24" borderId="128" xfId="0" applyNumberFormat="1" applyFont="1" applyFill="1" applyBorder="1">
      <alignment vertical="center"/>
    </xf>
    <xf numFmtId="0" fontId="20" fillId="24" borderId="134" xfId="0" applyFont="1" applyFill="1" applyBorder="1">
      <alignment vertical="center"/>
    </xf>
    <xf numFmtId="0" fontId="20" fillId="24" borderId="136" xfId="0" applyFont="1" applyFill="1" applyBorder="1" applyAlignment="1">
      <alignment vertical="center"/>
    </xf>
    <xf numFmtId="176" fontId="41" fillId="24" borderId="41" xfId="33" applyNumberFormat="1" applyFont="1" applyFill="1" applyBorder="1">
      <alignment vertical="center"/>
    </xf>
    <xf numFmtId="0" fontId="20" fillId="24" borderId="41" xfId="0" applyFont="1" applyFill="1" applyBorder="1" applyAlignment="1">
      <alignment horizontal="right" vertical="center"/>
    </xf>
    <xf numFmtId="176" fontId="41" fillId="24" borderId="41" xfId="0" applyNumberFormat="1" applyFont="1" applyFill="1" applyBorder="1">
      <alignment vertical="center"/>
    </xf>
    <xf numFmtId="0" fontId="20" fillId="24" borderId="41" xfId="0" applyFont="1" applyFill="1" applyBorder="1" applyAlignment="1">
      <alignment horizontal="center" vertical="center"/>
    </xf>
    <xf numFmtId="0" fontId="20" fillId="24" borderId="137" xfId="0" applyFont="1" applyFill="1" applyBorder="1">
      <alignment vertical="center"/>
    </xf>
    <xf numFmtId="0" fontId="0" fillId="38" borderId="110" xfId="0" applyFill="1" applyBorder="1" applyAlignment="1">
      <alignment horizontal="center" vertical="center"/>
    </xf>
    <xf numFmtId="0" fontId="20" fillId="28" borderId="138" xfId="0" applyFont="1" applyFill="1" applyBorder="1" applyAlignment="1">
      <alignment horizontal="center" vertical="center"/>
    </xf>
    <xf numFmtId="0" fontId="20" fillId="28" borderId="111" xfId="0" applyFont="1" applyFill="1" applyBorder="1" applyAlignment="1">
      <alignment horizontal="left" vertical="center"/>
    </xf>
    <xf numFmtId="0" fontId="27" fillId="28" borderId="111" xfId="0" applyFont="1" applyFill="1" applyBorder="1" applyAlignment="1">
      <alignment horizontal="right" vertical="center"/>
    </xf>
    <xf numFmtId="0" fontId="27" fillId="28" borderId="111" xfId="0" applyFont="1" applyFill="1" applyBorder="1" applyAlignment="1">
      <alignment horizontal="left" vertical="center"/>
    </xf>
    <xf numFmtId="0" fontId="20" fillId="28" borderId="111" xfId="0" applyFont="1" applyFill="1" applyBorder="1" applyAlignment="1">
      <alignment horizontal="center" vertical="center"/>
    </xf>
    <xf numFmtId="177" fontId="20" fillId="28" borderId="111" xfId="0" applyNumberFormat="1" applyFont="1" applyFill="1" applyBorder="1" applyAlignment="1">
      <alignment horizontal="center" vertical="center"/>
    </xf>
    <xf numFmtId="177" fontId="41" fillId="28" borderId="111" xfId="0" applyNumberFormat="1" applyFont="1" applyFill="1" applyBorder="1" applyAlignment="1">
      <alignment vertical="center"/>
    </xf>
    <xf numFmtId="0" fontId="27" fillId="24" borderId="139" xfId="0" applyFont="1" applyFill="1" applyBorder="1" applyAlignment="1">
      <alignment vertical="center"/>
    </xf>
    <xf numFmtId="0" fontId="20" fillId="24" borderId="139" xfId="0" applyFont="1" applyFill="1" applyBorder="1" applyAlignment="1">
      <alignment horizontal="center" vertical="center"/>
    </xf>
    <xf numFmtId="176" fontId="41" fillId="24" borderId="139" xfId="0" applyNumberFormat="1" applyFont="1" applyFill="1" applyBorder="1">
      <alignment vertical="center"/>
    </xf>
    <xf numFmtId="0" fontId="20" fillId="24" borderId="139" xfId="0" applyFont="1" applyFill="1" applyBorder="1">
      <alignment vertical="center"/>
    </xf>
    <xf numFmtId="0" fontId="41" fillId="24" borderId="139" xfId="0" applyFont="1" applyFill="1" applyBorder="1" applyAlignment="1">
      <alignment horizontal="center" vertical="center"/>
    </xf>
    <xf numFmtId="0" fontId="0" fillId="38" borderId="101" xfId="0" applyFill="1" applyBorder="1" applyAlignment="1">
      <alignment horizontal="center" vertical="center"/>
    </xf>
    <xf numFmtId="0" fontId="20" fillId="24" borderId="101" xfId="0" applyFont="1" applyFill="1" applyBorder="1" applyAlignment="1">
      <alignment horizontal="center" vertical="center"/>
    </xf>
    <xf numFmtId="0" fontId="42" fillId="24" borderId="129" xfId="0" applyFont="1" applyFill="1" applyBorder="1">
      <alignment vertical="center"/>
    </xf>
    <xf numFmtId="0" fontId="20" fillId="24" borderId="129" xfId="0" applyFont="1" applyFill="1" applyBorder="1" applyAlignment="1">
      <alignment horizontal="center" vertical="center"/>
    </xf>
    <xf numFmtId="0" fontId="20" fillId="24" borderId="129" xfId="0" applyFont="1" applyFill="1" applyBorder="1">
      <alignment vertical="center"/>
    </xf>
    <xf numFmtId="176" fontId="20" fillId="24" borderId="129" xfId="0" applyNumberFormat="1" applyFont="1" applyFill="1" applyBorder="1">
      <alignment vertical="center"/>
    </xf>
    <xf numFmtId="0" fontId="20" fillId="24" borderId="141" xfId="0" applyFont="1" applyFill="1" applyBorder="1">
      <alignment vertical="center"/>
    </xf>
    <xf numFmtId="176" fontId="41" fillId="24" borderId="142" xfId="33" applyNumberFormat="1" applyFont="1" applyFill="1" applyBorder="1">
      <alignment vertical="center"/>
    </xf>
    <xf numFmtId="176" fontId="41" fillId="24" borderId="142" xfId="0" applyNumberFormat="1" applyFont="1" applyFill="1" applyBorder="1">
      <alignment vertical="center"/>
    </xf>
    <xf numFmtId="0" fontId="20" fillId="24" borderId="143" xfId="0" applyFont="1" applyFill="1" applyBorder="1" applyAlignment="1">
      <alignment horizontal="center" vertical="center"/>
    </xf>
    <xf numFmtId="0" fontId="20" fillId="0" borderId="139" xfId="0" applyFont="1" applyBorder="1">
      <alignment vertical="center"/>
    </xf>
    <xf numFmtId="177" fontId="41" fillId="24" borderId="139" xfId="0" applyNumberFormat="1" applyFont="1" applyFill="1" applyBorder="1" applyAlignment="1">
      <alignment vertical="center"/>
    </xf>
    <xf numFmtId="0" fontId="31" fillId="26" borderId="144" xfId="0" applyFont="1" applyFill="1" applyBorder="1" applyAlignment="1">
      <alignment horizontal="center" vertical="center"/>
    </xf>
    <xf numFmtId="0" fontId="20" fillId="24" borderId="144" xfId="0" applyFont="1" applyFill="1" applyBorder="1" applyAlignment="1">
      <alignment horizontal="center" vertical="center"/>
    </xf>
    <xf numFmtId="0" fontId="42" fillId="24" borderId="145" xfId="0" applyFont="1" applyFill="1" applyBorder="1">
      <alignment vertical="center"/>
    </xf>
    <xf numFmtId="0" fontId="20" fillId="24" borderId="145" xfId="0" applyFont="1" applyFill="1" applyBorder="1" applyAlignment="1">
      <alignment horizontal="center" vertical="center"/>
    </xf>
    <xf numFmtId="0" fontId="20" fillId="24" borderId="145" xfId="0" applyFont="1" applyFill="1" applyBorder="1">
      <alignment vertical="center"/>
    </xf>
    <xf numFmtId="176" fontId="20" fillId="24" borderId="145" xfId="0" applyNumberFormat="1" applyFont="1" applyFill="1" applyBorder="1">
      <alignment vertical="center"/>
    </xf>
    <xf numFmtId="0" fontId="20" fillId="24" borderId="146" xfId="0" applyFont="1" applyFill="1" applyBorder="1">
      <alignment vertical="center"/>
    </xf>
    <xf numFmtId="0" fontId="0" fillId="36" borderId="75" xfId="0" applyFill="1" applyBorder="1" applyAlignment="1">
      <alignment horizontal="center" vertical="center"/>
    </xf>
    <xf numFmtId="0" fontId="31" fillId="36" borderId="144" xfId="0" applyFont="1" applyFill="1" applyBorder="1" applyAlignment="1">
      <alignment horizontal="center" vertical="center"/>
    </xf>
    <xf numFmtId="0" fontId="0" fillId="36" borderId="101" xfId="0" applyFill="1" applyBorder="1" applyAlignment="1">
      <alignment horizontal="center" vertical="center"/>
    </xf>
    <xf numFmtId="0" fontId="27" fillId="24" borderId="0" xfId="0" applyFont="1" applyFill="1" applyBorder="1" applyAlignment="1">
      <alignment vertical="center"/>
    </xf>
    <xf numFmtId="177" fontId="41" fillId="24" borderId="0" xfId="0" applyNumberFormat="1" applyFont="1" applyFill="1" applyBorder="1" applyAlignment="1">
      <alignment vertical="center"/>
    </xf>
    <xf numFmtId="0" fontId="31" fillId="25" borderId="144" xfId="0" applyFont="1" applyFill="1" applyBorder="1" applyAlignment="1">
      <alignment horizontal="center" vertical="center"/>
    </xf>
    <xf numFmtId="0" fontId="20" fillId="24" borderId="147" xfId="0" applyFont="1" applyFill="1" applyBorder="1" applyAlignment="1">
      <alignment horizontal="center" vertical="center"/>
    </xf>
    <xf numFmtId="0" fontId="31" fillId="28" borderId="111" xfId="0" applyFont="1" applyFill="1" applyBorder="1" applyAlignment="1">
      <alignment vertical="center"/>
    </xf>
    <xf numFmtId="176" fontId="41" fillId="28" borderId="111" xfId="0" applyNumberFormat="1" applyFont="1" applyFill="1" applyBorder="1">
      <alignment vertical="center"/>
    </xf>
    <xf numFmtId="0" fontId="20" fillId="28" borderId="111" xfId="0" applyFont="1" applyFill="1" applyBorder="1">
      <alignment vertical="center"/>
    </xf>
    <xf numFmtId="0" fontId="41" fillId="28" borderId="111" xfId="0" applyFont="1" applyFill="1" applyBorder="1" applyAlignment="1">
      <alignment horizontal="center" vertical="center"/>
    </xf>
    <xf numFmtId="180" fontId="20" fillId="24" borderId="0" xfId="0" applyNumberFormat="1" applyFont="1" applyFill="1" applyBorder="1" applyAlignment="1" applyProtection="1">
      <alignment vertical="center"/>
    </xf>
    <xf numFmtId="180" fontId="27" fillId="0" borderId="0" xfId="0" applyNumberFormat="1" applyFont="1" applyFill="1" applyBorder="1" applyAlignment="1" applyProtection="1">
      <alignment vertical="center"/>
    </xf>
    <xf numFmtId="0" fontId="59" fillId="0" borderId="0" xfId="0" applyFont="1">
      <alignment vertical="center"/>
    </xf>
    <xf numFmtId="0" fontId="20" fillId="35" borderId="130" xfId="0" applyFont="1" applyFill="1" applyBorder="1" applyAlignment="1">
      <alignment horizontal="center" vertical="center"/>
    </xf>
    <xf numFmtId="186" fontId="40" fillId="0" borderId="130" xfId="33" applyNumberFormat="1" applyFont="1" applyBorder="1" applyAlignment="1">
      <alignment horizontal="right" vertical="center"/>
    </xf>
    <xf numFmtId="183" fontId="40" fillId="34" borderId="130" xfId="33" applyNumberFormat="1" applyFont="1" applyFill="1" applyBorder="1" applyAlignment="1">
      <alignment horizontal="right" vertical="center"/>
    </xf>
    <xf numFmtId="183" fontId="20" fillId="0" borderId="130" xfId="0" applyNumberFormat="1" applyFont="1" applyBorder="1">
      <alignment vertical="center"/>
    </xf>
    <xf numFmtId="0" fontId="20" fillId="35" borderId="130" xfId="0" applyFont="1" applyFill="1" applyBorder="1" applyAlignment="1">
      <alignment vertical="center" wrapText="1"/>
    </xf>
    <xf numFmtId="0" fontId="20" fillId="35" borderId="11" xfId="0" applyFont="1" applyFill="1" applyBorder="1" applyAlignment="1">
      <alignment vertical="center" wrapText="1"/>
    </xf>
    <xf numFmtId="0" fontId="29" fillId="24" borderId="27" xfId="0" quotePrefix="1" applyFont="1" applyFill="1" applyBorder="1" applyAlignment="1">
      <alignment horizontal="center" vertical="center"/>
    </xf>
    <xf numFmtId="0" fontId="0" fillId="0" borderId="27" xfId="0" applyBorder="1" applyAlignment="1">
      <alignment horizontal="center" vertical="center"/>
    </xf>
    <xf numFmtId="0" fontId="0" fillId="0" borderId="77" xfId="0" applyBorder="1" applyAlignment="1">
      <alignment horizontal="center" vertical="center"/>
    </xf>
    <xf numFmtId="0" fontId="22" fillId="25" borderId="115" xfId="0" applyFont="1" applyFill="1" applyBorder="1" applyAlignment="1">
      <alignment horizontal="center" vertical="center"/>
    </xf>
    <xf numFmtId="0" fontId="0" fillId="0" borderId="115" xfId="0" applyBorder="1" applyAlignment="1">
      <alignment horizontal="center" vertical="center"/>
    </xf>
    <xf numFmtId="0" fontId="0" fillId="0" borderId="116" xfId="0" applyBorder="1" applyAlignment="1">
      <alignment horizontal="center" vertical="center"/>
    </xf>
    <xf numFmtId="180" fontId="31" fillId="25" borderId="125" xfId="0" applyNumberFormat="1" applyFont="1" applyFill="1" applyBorder="1" applyAlignment="1">
      <alignment horizontal="right" vertical="center"/>
    </xf>
    <xf numFmtId="0" fontId="0" fillId="0" borderId="27" xfId="0" applyBorder="1" applyAlignment="1">
      <alignment horizontal="right" vertical="center"/>
    </xf>
    <xf numFmtId="180" fontId="31" fillId="26" borderId="126" xfId="0" applyNumberFormat="1" applyFont="1" applyFill="1" applyBorder="1" applyAlignment="1">
      <alignment horizontal="right" vertical="center"/>
    </xf>
    <xf numFmtId="0" fontId="0" fillId="0" borderId="125" xfId="0" applyBorder="1" applyAlignment="1">
      <alignment horizontal="right" vertical="center"/>
    </xf>
    <xf numFmtId="0" fontId="22" fillId="33" borderId="114" xfId="0" applyFont="1" applyFill="1" applyBorder="1" applyAlignment="1">
      <alignment horizontal="center" vertical="center"/>
    </xf>
    <xf numFmtId="0" fontId="22" fillId="33" borderId="115" xfId="0" applyFont="1" applyFill="1" applyBorder="1" applyAlignment="1">
      <alignment horizontal="center" vertical="center"/>
    </xf>
    <xf numFmtId="0" fontId="22" fillId="33" borderId="116" xfId="0" applyFont="1" applyFill="1" applyBorder="1" applyAlignment="1">
      <alignment horizontal="center" vertical="center"/>
    </xf>
    <xf numFmtId="0" fontId="25" fillId="24" borderId="0" xfId="0" applyFont="1" applyFill="1" applyBorder="1" applyAlignment="1">
      <alignment horizontal="left" vertical="center"/>
    </xf>
    <xf numFmtId="0" fontId="25" fillId="24" borderId="0" xfId="0" applyFont="1" applyFill="1" applyBorder="1" applyAlignment="1" applyProtection="1">
      <alignment horizontal="left" vertical="center"/>
    </xf>
    <xf numFmtId="180" fontId="20" fillId="0" borderId="87" xfId="0" applyNumberFormat="1" applyFont="1" applyFill="1" applyBorder="1" applyAlignment="1" applyProtection="1">
      <alignment vertical="center"/>
      <protection locked="0"/>
    </xf>
    <xf numFmtId="180" fontId="20" fillId="0" borderId="88" xfId="0" applyNumberFormat="1" applyFont="1" applyFill="1" applyBorder="1" applyAlignment="1" applyProtection="1">
      <alignment vertical="center"/>
      <protection locked="0"/>
    </xf>
    <xf numFmtId="180" fontId="20" fillId="0" borderId="89" xfId="0" applyNumberFormat="1" applyFont="1" applyFill="1" applyBorder="1" applyAlignment="1" applyProtection="1">
      <alignment vertical="center"/>
      <protection locked="0"/>
    </xf>
    <xf numFmtId="0" fontId="22" fillId="27" borderId="124" xfId="0" applyFont="1" applyFill="1" applyBorder="1" applyAlignment="1">
      <alignment horizontal="center" vertical="center"/>
    </xf>
    <xf numFmtId="0" fontId="0" fillId="0" borderId="117" xfId="0" applyBorder="1" applyAlignment="1">
      <alignment horizontal="center" vertical="center"/>
    </xf>
    <xf numFmtId="0" fontId="22" fillId="26" borderId="117" xfId="0" applyFont="1" applyFill="1" applyBorder="1" applyAlignment="1">
      <alignment horizontal="center" vertical="center"/>
    </xf>
    <xf numFmtId="0" fontId="22" fillId="33" borderId="51" xfId="0" applyFont="1" applyFill="1" applyBorder="1" applyAlignment="1">
      <alignment horizontal="center" vertical="center"/>
    </xf>
    <xf numFmtId="0" fontId="22" fillId="33" borderId="27" xfId="0" applyFont="1" applyFill="1" applyBorder="1" applyAlignment="1">
      <alignment horizontal="center" vertical="center"/>
    </xf>
    <xf numFmtId="0" fontId="22" fillId="33" borderId="19" xfId="0" applyFont="1" applyFill="1" applyBorder="1" applyAlignment="1">
      <alignment horizontal="center" vertical="center"/>
    </xf>
    <xf numFmtId="180" fontId="31" fillId="27" borderId="51" xfId="0" applyNumberFormat="1" applyFont="1" applyFill="1" applyBorder="1" applyAlignment="1">
      <alignment horizontal="right" vertical="center"/>
    </xf>
    <xf numFmtId="180" fontId="31" fillId="27" borderId="27" xfId="0" applyNumberFormat="1" applyFont="1" applyFill="1" applyBorder="1" applyAlignment="1">
      <alignment horizontal="right" vertical="center"/>
    </xf>
    <xf numFmtId="180" fontId="20" fillId="0" borderId="65" xfId="0" applyNumberFormat="1" applyFont="1" applyFill="1" applyBorder="1" applyAlignment="1" applyProtection="1">
      <alignment vertical="center"/>
      <protection locked="0"/>
    </xf>
    <xf numFmtId="180" fontId="20" fillId="0" borderId="66" xfId="0" applyNumberFormat="1" applyFont="1" applyFill="1" applyBorder="1" applyAlignment="1" applyProtection="1">
      <alignment vertical="center"/>
      <protection locked="0"/>
    </xf>
    <xf numFmtId="180" fontId="20" fillId="0" borderId="67" xfId="0" applyNumberFormat="1" applyFont="1" applyFill="1" applyBorder="1" applyAlignment="1" applyProtection="1">
      <alignment vertical="center"/>
      <protection locked="0"/>
    </xf>
    <xf numFmtId="0" fontId="22" fillId="24" borderId="0" xfId="0" applyFont="1" applyFill="1" applyAlignment="1">
      <alignment horizontal="center"/>
    </xf>
    <xf numFmtId="0" fontId="22" fillId="24" borderId="68" xfId="0" applyFont="1" applyFill="1" applyBorder="1" applyAlignment="1">
      <alignment horizontal="center"/>
    </xf>
    <xf numFmtId="38" fontId="20" fillId="24" borderId="65" xfId="33" applyFont="1" applyFill="1" applyBorder="1" applyAlignment="1" applyProtection="1">
      <alignment vertical="center"/>
      <protection locked="0"/>
    </xf>
    <xf numFmtId="38" fontId="20" fillId="24" borderId="66" xfId="33" applyFont="1" applyFill="1" applyBorder="1" applyAlignment="1" applyProtection="1">
      <alignment vertical="center"/>
      <protection locked="0"/>
    </xf>
    <xf numFmtId="38" fontId="20" fillId="24" borderId="67" xfId="33" applyFont="1" applyFill="1" applyBorder="1" applyAlignment="1" applyProtection="1">
      <alignment vertical="center"/>
      <protection locked="0"/>
    </xf>
    <xf numFmtId="180" fontId="32" fillId="24" borderId="52" xfId="0" applyNumberFormat="1" applyFont="1" applyFill="1" applyBorder="1" applyAlignment="1">
      <alignment horizontal="right" vertical="center"/>
    </xf>
    <xf numFmtId="180" fontId="32" fillId="24" borderId="53" xfId="0" applyNumberFormat="1" applyFont="1" applyFill="1" applyBorder="1" applyAlignment="1">
      <alignment horizontal="right" vertical="center"/>
    </xf>
    <xf numFmtId="0" fontId="32" fillId="24" borderId="53" xfId="0" applyFont="1" applyFill="1" applyBorder="1" applyAlignment="1">
      <alignment horizontal="right" vertical="center"/>
    </xf>
    <xf numFmtId="0" fontId="22" fillId="24" borderId="54" xfId="0" applyFont="1" applyFill="1" applyBorder="1" applyAlignment="1">
      <alignment horizontal="center"/>
    </xf>
    <xf numFmtId="180" fontId="31" fillId="25" borderId="79" xfId="0" applyNumberFormat="1" applyFont="1" applyFill="1" applyBorder="1" applyAlignment="1">
      <alignment horizontal="right" vertical="center"/>
    </xf>
    <xf numFmtId="0" fontId="29" fillId="24" borderId="128" xfId="0" quotePrefix="1" applyFont="1" applyFill="1" applyBorder="1" applyAlignment="1">
      <alignment horizontal="center" vertical="center"/>
    </xf>
    <xf numFmtId="0" fontId="0" fillId="0" borderId="128" xfId="0" applyBorder="1" applyAlignment="1">
      <alignment horizontal="center" vertical="center"/>
    </xf>
    <xf numFmtId="180" fontId="31" fillId="26" borderId="81" xfId="0" applyNumberFormat="1" applyFont="1" applyFill="1" applyBorder="1" applyAlignment="1">
      <alignment vertical="center"/>
    </xf>
    <xf numFmtId="180" fontId="0" fillId="0" borderId="79" xfId="0" applyNumberFormat="1" applyBorder="1" applyAlignment="1">
      <alignment vertical="center"/>
    </xf>
    <xf numFmtId="180" fontId="31" fillId="27" borderId="78" xfId="0" applyNumberFormat="1" applyFont="1" applyFill="1" applyBorder="1" applyAlignment="1">
      <alignment vertical="center"/>
    </xf>
    <xf numFmtId="180" fontId="31" fillId="27" borderId="115" xfId="0" applyNumberFormat="1" applyFont="1" applyFill="1" applyBorder="1" applyAlignment="1">
      <alignment horizontal="right" vertical="center"/>
    </xf>
    <xf numFmtId="180" fontId="31" fillId="27" borderId="79" xfId="0" applyNumberFormat="1" applyFont="1" applyFill="1" applyBorder="1" applyAlignment="1">
      <alignment horizontal="right" vertical="center"/>
    </xf>
    <xf numFmtId="0" fontId="49" fillId="24" borderId="0" xfId="0" applyFont="1" applyFill="1" applyAlignment="1">
      <alignment horizontal="center" wrapText="1"/>
    </xf>
    <xf numFmtId="0" fontId="50" fillId="0" borderId="0" xfId="0" applyFont="1" applyAlignment="1">
      <alignment horizontal="center" wrapText="1"/>
    </xf>
    <xf numFmtId="182" fontId="27" fillId="24" borderId="33" xfId="0" applyNumberFormat="1" applyFont="1" applyFill="1" applyBorder="1" applyAlignment="1">
      <alignment horizontal="right" vertical="center"/>
    </xf>
    <xf numFmtId="182" fontId="27" fillId="24" borderId="103" xfId="0" applyNumberFormat="1" applyFont="1" applyFill="1" applyBorder="1" applyAlignment="1">
      <alignment horizontal="right" vertical="center"/>
    </xf>
    <xf numFmtId="182" fontId="27" fillId="24" borderId="31" xfId="0" applyNumberFormat="1" applyFont="1" applyFill="1" applyBorder="1" applyAlignment="1">
      <alignment horizontal="right" vertical="center"/>
    </xf>
    <xf numFmtId="180" fontId="31" fillId="25" borderId="81" xfId="0" applyNumberFormat="1" applyFont="1" applyFill="1" applyBorder="1" applyAlignment="1">
      <alignment vertical="center"/>
    </xf>
    <xf numFmtId="0" fontId="37" fillId="24" borderId="83" xfId="0" applyFont="1" applyFill="1" applyBorder="1" applyAlignment="1">
      <alignment horizontal="center" vertical="top"/>
    </xf>
    <xf numFmtId="0" fontId="37" fillId="24" borderId="104" xfId="0" applyFont="1" applyFill="1" applyBorder="1" applyAlignment="1">
      <alignment horizontal="center" vertical="top"/>
    </xf>
    <xf numFmtId="0" fontId="0" fillId="0" borderId="83" xfId="0" applyBorder="1" applyAlignment="1">
      <alignment horizontal="center" vertical="center"/>
    </xf>
    <xf numFmtId="0" fontId="52" fillId="24" borderId="0" xfId="0" applyFont="1" applyFill="1" applyBorder="1" applyAlignment="1">
      <alignment horizontal="center" vertical="center"/>
    </xf>
    <xf numFmtId="180" fontId="31" fillId="26" borderId="81" xfId="0" applyNumberFormat="1" applyFont="1" applyFill="1" applyBorder="1" applyAlignment="1">
      <alignment horizontal="right" vertical="center"/>
    </xf>
    <xf numFmtId="180" fontId="31" fillId="26" borderId="79" xfId="0" applyNumberFormat="1" applyFont="1" applyFill="1" applyBorder="1" applyAlignment="1">
      <alignment horizontal="right" vertical="center"/>
    </xf>
    <xf numFmtId="0" fontId="58" fillId="24" borderId="128" xfId="0" quotePrefix="1" applyFont="1" applyFill="1" applyBorder="1" applyAlignment="1">
      <alignment horizontal="center" vertical="center"/>
    </xf>
    <xf numFmtId="0" fontId="50" fillId="0" borderId="128" xfId="0" applyFont="1" applyBorder="1" applyAlignment="1">
      <alignment horizontal="center" vertical="center"/>
    </xf>
    <xf numFmtId="0" fontId="22" fillId="0" borderId="0" xfId="0" applyFont="1" applyFill="1" applyBorder="1" applyAlignment="1">
      <alignment horizontal="center" vertical="center"/>
    </xf>
    <xf numFmtId="180" fontId="31" fillId="0" borderId="0" xfId="0" applyNumberFormat="1" applyFont="1" applyFill="1" applyBorder="1" applyAlignment="1">
      <alignment horizontal="right" vertical="center"/>
    </xf>
    <xf numFmtId="0" fontId="0" fillId="0" borderId="0" xfId="0" applyFill="1" applyBorder="1" applyAlignment="1">
      <alignment horizontal="right" vertical="center"/>
    </xf>
    <xf numFmtId="0" fontId="26" fillId="24" borderId="0" xfId="0" applyFont="1" applyFill="1" applyBorder="1" applyAlignment="1">
      <alignment horizontal="right" vertical="center"/>
    </xf>
    <xf numFmtId="0" fontId="0" fillId="0" borderId="0" xfId="0" applyBorder="1" applyAlignment="1">
      <alignment horizontal="right" vertical="center"/>
    </xf>
    <xf numFmtId="176" fontId="45" fillId="24" borderId="0" xfId="0" applyNumberFormat="1" applyFont="1" applyFill="1" applyBorder="1" applyAlignment="1">
      <alignment horizontal="center" vertical="center"/>
    </xf>
    <xf numFmtId="0" fontId="45" fillId="24" borderId="0" xfId="0" applyFont="1" applyFill="1" applyBorder="1" applyAlignment="1">
      <alignment horizontal="center" vertical="center"/>
    </xf>
    <xf numFmtId="176" fontId="34" fillId="24" borderId="0" xfId="0" applyNumberFormat="1" applyFont="1" applyFill="1" applyBorder="1" applyAlignment="1">
      <alignment horizontal="right" vertical="center"/>
    </xf>
    <xf numFmtId="176" fontId="39" fillId="24" borderId="60" xfId="0" applyNumberFormat="1" applyFont="1" applyFill="1" applyBorder="1" applyAlignment="1">
      <alignment horizontal="right" vertical="center" indent="1"/>
    </xf>
    <xf numFmtId="176" fontId="39" fillId="24" borderId="31" xfId="0" applyNumberFormat="1" applyFont="1" applyFill="1" applyBorder="1" applyAlignment="1">
      <alignment horizontal="right" vertical="center" indent="1"/>
    </xf>
    <xf numFmtId="176" fontId="39" fillId="24" borderId="20" xfId="0" applyNumberFormat="1" applyFont="1" applyFill="1" applyBorder="1" applyAlignment="1">
      <alignment horizontal="right" vertical="center" indent="1"/>
    </xf>
    <xf numFmtId="0" fontId="26" fillId="24" borderId="0" xfId="0" applyFont="1" applyFill="1" applyBorder="1" applyAlignment="1">
      <alignment vertical="center"/>
    </xf>
    <xf numFmtId="176" fontId="46" fillId="24" borderId="55" xfId="0" applyNumberFormat="1" applyFont="1" applyFill="1" applyBorder="1" applyAlignment="1">
      <alignment horizontal="right" vertical="center" indent="1"/>
    </xf>
    <xf numFmtId="176" fontId="46" fillId="24" borderId="29" xfId="0" applyNumberFormat="1" applyFont="1" applyFill="1" applyBorder="1" applyAlignment="1">
      <alignment horizontal="right" vertical="center" indent="1"/>
    </xf>
    <xf numFmtId="176" fontId="46" fillId="24" borderId="56" xfId="0" applyNumberFormat="1" applyFont="1" applyFill="1" applyBorder="1" applyAlignment="1">
      <alignment horizontal="right" vertical="center" indent="1"/>
    </xf>
    <xf numFmtId="176" fontId="43" fillId="24" borderId="74" xfId="0" applyNumberFormat="1" applyFont="1" applyFill="1" applyBorder="1" applyAlignment="1">
      <alignment horizontal="right" vertical="center"/>
    </xf>
    <xf numFmtId="176" fontId="45" fillId="24" borderId="21" xfId="0" applyNumberFormat="1" applyFont="1" applyFill="1" applyBorder="1" applyAlignment="1">
      <alignment horizontal="center" vertical="center"/>
    </xf>
    <xf numFmtId="0" fontId="45" fillId="24" borderId="21" xfId="0" applyFont="1" applyFill="1" applyBorder="1" applyAlignment="1">
      <alignment horizontal="center" vertical="center"/>
    </xf>
    <xf numFmtId="176" fontId="32" fillId="24" borderId="0" xfId="0" applyNumberFormat="1" applyFont="1" applyFill="1" applyBorder="1" applyAlignment="1">
      <alignment horizontal="right" vertical="center"/>
    </xf>
    <xf numFmtId="10" fontId="41" fillId="37" borderId="57" xfId="0" applyNumberFormat="1" applyFont="1" applyFill="1" applyBorder="1" applyAlignment="1">
      <alignment vertical="center"/>
    </xf>
    <xf numFmtId="0" fontId="41" fillId="37" borderId="58" xfId="0" applyFont="1" applyFill="1" applyBorder="1" applyAlignment="1">
      <alignment vertical="center"/>
    </xf>
    <xf numFmtId="0" fontId="41" fillId="37" borderId="59" xfId="0" applyFont="1" applyFill="1" applyBorder="1" applyAlignment="1">
      <alignment vertical="center"/>
    </xf>
    <xf numFmtId="176" fontId="41" fillId="28" borderId="111" xfId="0" applyNumberFormat="1" applyFont="1" applyFill="1" applyBorder="1" applyAlignment="1">
      <alignment horizontal="right" vertical="center"/>
    </xf>
    <xf numFmtId="176" fontId="41" fillId="24" borderId="139" xfId="0" applyNumberFormat="1" applyFont="1" applyFill="1" applyBorder="1" applyAlignment="1">
      <alignment horizontal="right" vertical="center"/>
    </xf>
    <xf numFmtId="176" fontId="34" fillId="24" borderId="21" xfId="0" applyNumberFormat="1" applyFont="1" applyFill="1" applyBorder="1" applyAlignment="1">
      <alignment horizontal="right" vertical="center"/>
    </xf>
    <xf numFmtId="176" fontId="43" fillId="0" borderId="74" xfId="0" applyNumberFormat="1" applyFont="1" applyFill="1" applyBorder="1" applyAlignment="1">
      <alignment horizontal="right" vertical="center"/>
    </xf>
    <xf numFmtId="0" fontId="20" fillId="24" borderId="23" xfId="0" applyFont="1" applyFill="1" applyBorder="1" applyAlignment="1">
      <alignment horizontal="center" vertical="center"/>
    </xf>
    <xf numFmtId="0" fontId="20" fillId="24" borderId="0" xfId="0" applyFont="1" applyFill="1" applyBorder="1" applyAlignment="1">
      <alignment horizontal="center" vertical="center"/>
    </xf>
    <xf numFmtId="0" fontId="40" fillId="24" borderId="23" xfId="0" applyFont="1" applyFill="1" applyBorder="1" applyAlignment="1">
      <alignment horizontal="center" vertical="center" wrapText="1"/>
    </xf>
    <xf numFmtId="0" fontId="40" fillId="24" borderId="0" xfId="0" applyFont="1" applyFill="1" applyBorder="1" applyAlignment="1">
      <alignment horizontal="center" vertical="center" wrapText="1"/>
    </xf>
    <xf numFmtId="0" fontId="0" fillId="0" borderId="74" xfId="0" applyBorder="1" applyAlignment="1">
      <alignment horizontal="right" vertical="center"/>
    </xf>
    <xf numFmtId="0" fontId="0" fillId="0" borderId="111" xfId="0" applyBorder="1" applyAlignment="1">
      <alignment horizontal="right" vertical="center"/>
    </xf>
    <xf numFmtId="176" fontId="41" fillId="24" borderId="62" xfId="0" applyNumberFormat="1" applyFont="1" applyFill="1" applyBorder="1" applyAlignment="1">
      <alignment vertical="center"/>
    </xf>
    <xf numFmtId="0" fontId="41" fillId="24" borderId="63" xfId="0" applyFont="1" applyFill="1" applyBorder="1" applyAlignment="1">
      <alignment vertical="center"/>
    </xf>
    <xf numFmtId="176" fontId="41" fillId="28" borderId="0" xfId="0" applyNumberFormat="1" applyFont="1" applyFill="1" applyBorder="1" applyAlignment="1">
      <alignment horizontal="right" vertical="center"/>
    </xf>
    <xf numFmtId="0" fontId="0" fillId="0" borderId="0" xfId="0" applyAlignment="1">
      <alignment horizontal="right" vertical="center"/>
    </xf>
    <xf numFmtId="0" fontId="31" fillId="25" borderId="148" xfId="0" applyFont="1" applyFill="1" applyBorder="1" applyAlignment="1">
      <alignment horizontal="center" vertical="center"/>
    </xf>
    <xf numFmtId="0" fontId="31" fillId="25" borderId="149" xfId="0" applyFont="1" applyFill="1" applyBorder="1" applyAlignment="1">
      <alignment horizontal="center" vertical="center"/>
    </xf>
    <xf numFmtId="0" fontId="31" fillId="25" borderId="102" xfId="0" applyFont="1" applyFill="1" applyBorder="1" applyAlignment="1">
      <alignment horizontal="center" vertical="center"/>
    </xf>
    <xf numFmtId="0" fontId="31" fillId="25" borderId="140" xfId="0" applyFont="1" applyFill="1" applyBorder="1" applyAlignment="1">
      <alignment horizontal="center" vertical="center"/>
    </xf>
    <xf numFmtId="0" fontId="31" fillId="25" borderId="98" xfId="0" applyFont="1" applyFill="1" applyBorder="1" applyAlignment="1">
      <alignment horizontal="center" vertical="center"/>
    </xf>
    <xf numFmtId="0" fontId="31" fillId="25" borderId="99" xfId="0" applyFont="1" applyFill="1" applyBorder="1" applyAlignment="1">
      <alignment horizontal="center" vertical="center"/>
    </xf>
    <xf numFmtId="0" fontId="40" fillId="24" borderId="23" xfId="0" applyFont="1" applyFill="1" applyBorder="1" applyAlignment="1">
      <alignment horizontal="right" vertical="center"/>
    </xf>
    <xf numFmtId="0" fontId="40" fillId="24" borderId="0" xfId="0" applyFont="1" applyFill="1" applyBorder="1" applyAlignment="1">
      <alignment horizontal="right" vertical="center"/>
    </xf>
    <xf numFmtId="0" fontId="40" fillId="24" borderId="61" xfId="0" applyFont="1" applyFill="1" applyBorder="1" applyAlignment="1">
      <alignment horizontal="right" vertical="center"/>
    </xf>
    <xf numFmtId="0" fontId="40" fillId="24" borderId="23" xfId="0" applyFont="1" applyFill="1" applyBorder="1" applyAlignment="1">
      <alignment horizontal="center" vertical="center"/>
    </xf>
    <xf numFmtId="0" fontId="40" fillId="24" borderId="0" xfId="0" applyFont="1" applyFill="1" applyBorder="1" applyAlignment="1">
      <alignment horizontal="center" vertical="center"/>
    </xf>
    <xf numFmtId="0" fontId="40" fillId="0" borderId="23" xfId="0" applyFont="1" applyFill="1" applyBorder="1" applyAlignment="1">
      <alignment horizontal="center" vertical="center"/>
    </xf>
    <xf numFmtId="0" fontId="40" fillId="0" borderId="0" xfId="0" applyFont="1" applyFill="1" applyBorder="1" applyAlignment="1">
      <alignment horizontal="center" vertical="center"/>
    </xf>
    <xf numFmtId="0" fontId="42" fillId="24" borderId="23" xfId="0" applyFont="1" applyFill="1" applyBorder="1" applyAlignment="1">
      <alignment horizontal="center" vertical="center" wrapText="1"/>
    </xf>
    <xf numFmtId="0" fontId="42" fillId="24" borderId="61" xfId="0" applyFont="1" applyFill="1" applyBorder="1" applyAlignment="1">
      <alignment horizontal="center" vertical="center" wrapText="1"/>
    </xf>
    <xf numFmtId="0" fontId="20" fillId="24" borderId="64" xfId="0" applyFont="1" applyFill="1" applyBorder="1" applyAlignment="1">
      <alignment horizontal="center" vertical="center"/>
    </xf>
    <xf numFmtId="0" fontId="31" fillId="36" borderId="102" xfId="0" applyFont="1" applyFill="1" applyBorder="1" applyAlignment="1">
      <alignment horizontal="center" vertical="center"/>
    </xf>
    <xf numFmtId="0" fontId="31" fillId="36" borderId="140" xfId="0" applyFont="1" applyFill="1" applyBorder="1" applyAlignment="1">
      <alignment horizontal="center" vertical="center"/>
    </xf>
    <xf numFmtId="0" fontId="31" fillId="26" borderId="95" xfId="0" applyFont="1" applyFill="1" applyBorder="1" applyAlignment="1">
      <alignment horizontal="center" vertical="center"/>
    </xf>
    <xf numFmtId="0" fontId="31" fillId="26" borderId="96" xfId="0" applyFont="1" applyFill="1" applyBorder="1" applyAlignment="1">
      <alignment horizontal="center" vertical="center"/>
    </xf>
    <xf numFmtId="0" fontId="31" fillId="26" borderId="97" xfId="0" applyFont="1" applyFill="1" applyBorder="1" applyAlignment="1">
      <alignment horizontal="center" vertical="center"/>
    </xf>
    <xf numFmtId="0" fontId="31" fillId="26" borderId="109" xfId="0" applyFont="1" applyFill="1" applyBorder="1" applyAlignment="1">
      <alignment horizontal="center" vertical="center"/>
    </xf>
    <xf numFmtId="0" fontId="0" fillId="0" borderId="109" xfId="0" applyBorder="1" applyAlignment="1">
      <alignment horizontal="center" vertical="center"/>
    </xf>
    <xf numFmtId="10" fontId="41" fillId="37" borderId="135" xfId="0" applyNumberFormat="1" applyFont="1" applyFill="1" applyBorder="1" applyAlignment="1">
      <alignment vertical="center"/>
    </xf>
    <xf numFmtId="176" fontId="41" fillId="24" borderId="135" xfId="0" applyNumberFormat="1" applyFont="1" applyFill="1" applyBorder="1" applyAlignment="1">
      <alignment vertical="center"/>
    </xf>
    <xf numFmtId="0" fontId="41" fillId="24" borderId="59" xfId="0" applyFont="1" applyFill="1" applyBorder="1" applyAlignment="1">
      <alignment vertical="center"/>
    </xf>
    <xf numFmtId="176" fontId="41" fillId="24" borderId="28" xfId="0" applyNumberFormat="1" applyFont="1" applyFill="1" applyBorder="1" applyAlignment="1">
      <alignment horizontal="right" vertical="center"/>
    </xf>
    <xf numFmtId="176" fontId="41" fillId="28" borderId="41" xfId="0" applyNumberFormat="1" applyFont="1" applyFill="1" applyBorder="1" applyAlignment="1">
      <alignment horizontal="right" vertical="center"/>
    </xf>
    <xf numFmtId="0" fontId="57" fillId="0" borderId="74" xfId="0" applyFont="1" applyBorder="1" applyAlignment="1">
      <alignment horizontal="right" vertical="center"/>
    </xf>
    <xf numFmtId="0" fontId="31" fillId="27" borderId="95" xfId="0" applyFont="1" applyFill="1" applyBorder="1" applyAlignment="1">
      <alignment horizontal="center" vertical="center"/>
    </xf>
    <xf numFmtId="0" fontId="31" fillId="27" borderId="96" xfId="0" applyFont="1" applyFill="1" applyBorder="1" applyAlignment="1">
      <alignment horizontal="center" vertical="center"/>
    </xf>
    <xf numFmtId="0" fontId="31" fillId="27" borderId="131" xfId="0" applyFont="1" applyFill="1" applyBorder="1" applyAlignment="1">
      <alignment horizontal="center" vertical="center"/>
    </xf>
    <xf numFmtId="0" fontId="31" fillId="27" borderId="102" xfId="0" applyFont="1" applyFill="1" applyBorder="1" applyAlignment="1">
      <alignment horizontal="center" vertical="center"/>
    </xf>
    <xf numFmtId="0" fontId="31" fillId="27" borderId="140" xfId="0" applyFont="1" applyFill="1" applyBorder="1" applyAlignment="1">
      <alignment horizontal="center" vertical="center"/>
    </xf>
    <xf numFmtId="0" fontId="31" fillId="27" borderId="109" xfId="0" applyFont="1" applyFill="1"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20政令指定都市料率等" xfId="42" xr:uid="{00000000-0005-0000-0000-00002A000000}"/>
    <cellStyle name="標準_Sheet1" xfId="43" xr:uid="{00000000-0005-0000-0000-00002B000000}"/>
    <cellStyle name="良い" xfId="44" builtinId="26" customBuiltin="1"/>
  </cellStyles>
  <dxfs count="11">
    <dxf>
      <fill>
        <patternFill>
          <bgColor rgb="FFFFFF66"/>
        </patternFill>
      </fill>
    </dxf>
    <dxf>
      <fill>
        <patternFill>
          <bgColor rgb="FFFFFF99"/>
        </patternFill>
      </fill>
    </dxf>
    <dxf>
      <border>
        <left/>
        <right style="thin">
          <color rgb="FF969696"/>
        </right>
        <top style="thin">
          <color rgb="FF969696"/>
        </top>
        <bottom style="thin">
          <color rgb="FF969696"/>
        </bottom>
        <vertical/>
        <horizontal/>
      </border>
    </dxf>
    <dxf>
      <fill>
        <patternFill>
          <bgColor rgb="FFFFFF99"/>
        </patternFill>
      </fill>
    </dxf>
    <dxf>
      <border>
        <left style="thin">
          <color rgb="FF969696"/>
        </left>
        <right/>
        <top style="thin">
          <color rgb="FF969696"/>
        </top>
        <bottom style="thin">
          <color rgb="FF969696"/>
        </bottom>
        <vertical/>
        <horizontal/>
      </border>
    </dxf>
    <dxf>
      <fill>
        <patternFill>
          <bgColor rgb="FF99CCFF"/>
        </patternFill>
      </fill>
    </dxf>
    <dxf>
      <border>
        <left/>
        <right style="thin">
          <color rgb="FF969696"/>
        </right>
        <top style="thin">
          <color rgb="FF969696"/>
        </top>
        <bottom style="thin">
          <color rgb="FF969696"/>
        </bottom>
        <vertical/>
        <horizontal/>
      </border>
    </dxf>
    <dxf>
      <fill>
        <patternFill>
          <bgColor rgb="FF99CCFF"/>
        </patternFill>
      </fill>
    </dxf>
    <dxf>
      <border>
        <left style="thin">
          <color rgb="FF969696"/>
        </left>
        <right/>
        <top style="thin">
          <color rgb="FF969696"/>
        </top>
        <bottom style="thin">
          <color rgb="FF969696"/>
        </bottom>
        <vertical/>
        <horizontal/>
      </border>
    </dxf>
    <dxf>
      <fill>
        <patternFill>
          <bgColor rgb="FFCCFFCC"/>
        </patternFill>
      </fill>
    </dxf>
    <dxf>
      <border>
        <left style="thin">
          <color theme="0" tint="-0.34998626667073579"/>
        </left>
        <right style="thin">
          <color theme="0" tint="-0.34998626667073579"/>
        </right>
        <top style="thin">
          <color theme="0" tint="-0.34998626667073579"/>
        </top>
        <bottom style="thin">
          <color theme="0" tint="-0.34998626667073579"/>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FFDDDD"/>
      <rgbColor rgb="00DDDDDD"/>
      <rgbColor rgb="00FFFFCC"/>
      <rgbColor rgb="00CCFFFF"/>
      <rgbColor rgb="00660066"/>
      <rgbColor rgb="00FF8080"/>
      <rgbColor rgb="000066CC"/>
      <rgbColor rgb="00CCCCFF"/>
      <rgbColor rgb="00000080"/>
      <rgbColor rgb="00EAEAEA"/>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color rgb="FF99CCFF"/>
      <color rgb="FF969696"/>
      <color rgb="FFC0C0C0"/>
      <color rgb="FFCC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Drop" dropStyle="combo" dx="16" fmlaLink="★計算基準!$C$18" fmlaRange="★計算基準!$C$3:$C$8" noThreeD="1" sel="4" val="0"/>
</file>

<file path=xl/ctrlProps/ctrlProp10.xml><?xml version="1.0" encoding="utf-8"?>
<formControlPr xmlns="http://schemas.microsoft.com/office/spreadsheetml/2009/9/main" objectType="CheckBox" fmlaLink="★計算基準!$K$8" lockText="1" noThreeD="1"/>
</file>

<file path=xl/ctrlProps/ctrlProp11.xml><?xml version="1.0" encoding="utf-8"?>
<formControlPr xmlns="http://schemas.microsoft.com/office/spreadsheetml/2009/9/main" objectType="CheckBox" fmlaLink="★計算基準!$K$7" lockText="1" noThreeD="1"/>
</file>

<file path=xl/ctrlProps/ctrlProp12.xml><?xml version="1.0" encoding="utf-8"?>
<formControlPr xmlns="http://schemas.microsoft.com/office/spreadsheetml/2009/9/main" objectType="CheckBox" fmlaLink="★計算基準!$K$6" lockText="1" noThreeD="1"/>
</file>

<file path=xl/ctrlProps/ctrlProp13.xml><?xml version="1.0" encoding="utf-8"?>
<formControlPr xmlns="http://schemas.microsoft.com/office/spreadsheetml/2009/9/main" objectType="Drop" dropStyle="combo" dx="16" fmlaLink="★計算基準!$A$18" fmlaRange="★計算基準!$A$3:$A$4" noThreeD="1" sel="1" val="0"/>
</file>

<file path=xl/ctrlProps/ctrlProp2.xml><?xml version="1.0" encoding="utf-8"?>
<formControlPr xmlns="http://schemas.microsoft.com/office/spreadsheetml/2009/9/main" objectType="Drop" dropStyle="combo" dx="16" fmlaLink="★計算基準!$C$19" fmlaRange="★計算基準!$E$3:$E$8" noThreeD="1" sel="1" val="0"/>
</file>

<file path=xl/ctrlProps/ctrlProp3.xml><?xml version="1.0" encoding="utf-8"?>
<formControlPr xmlns="http://schemas.microsoft.com/office/spreadsheetml/2009/9/main" objectType="Drop" dropStyle="combo" dx="16" fmlaLink="★計算基準!$C$20" fmlaRange="★計算基準!$E$3:$E$8" noThreeD="1" sel="1" val="0"/>
</file>

<file path=xl/ctrlProps/ctrlProp4.xml><?xml version="1.0" encoding="utf-8"?>
<formControlPr xmlns="http://schemas.microsoft.com/office/spreadsheetml/2009/9/main" objectType="Drop" dropStyle="combo" dx="16" fmlaLink="★計算基準!$C$21" fmlaRange="★計算基準!$E$3:$E$8" noThreeD="1" sel="1" val="0"/>
</file>

<file path=xl/ctrlProps/ctrlProp5.xml><?xml version="1.0" encoding="utf-8"?>
<formControlPr xmlns="http://schemas.microsoft.com/office/spreadsheetml/2009/9/main" objectType="Drop" dropStyle="combo" dx="16" fmlaLink="★計算基準!$C$22" fmlaRange="★計算基準!$E$3:$E$8" noThreeD="1" sel="1" val="0"/>
</file>

<file path=xl/ctrlProps/ctrlProp6.xml><?xml version="1.0" encoding="utf-8"?>
<formControlPr xmlns="http://schemas.microsoft.com/office/spreadsheetml/2009/9/main" objectType="Drop" dropStyle="combo" dx="16" fmlaLink="★計算基準!$C$23" fmlaRange="★計算基準!$E$3:$E$8" noThreeD="1" sel="1" val="0"/>
</file>

<file path=xl/ctrlProps/ctrlProp7.xml><?xml version="1.0" encoding="utf-8"?>
<formControlPr xmlns="http://schemas.microsoft.com/office/spreadsheetml/2009/9/main" objectType="CheckBox" fmlaLink="★計算基準!$K$3" lockText="1" noThreeD="1"/>
</file>

<file path=xl/ctrlProps/ctrlProp8.xml><?xml version="1.0" encoding="utf-8"?>
<formControlPr xmlns="http://schemas.microsoft.com/office/spreadsheetml/2009/9/main" objectType="CheckBox" fmlaLink="★計算基準!$K$5" lockText="1" noThreeD="1"/>
</file>

<file path=xl/ctrlProps/ctrlProp9.xml><?xml version="1.0" encoding="utf-8"?>
<formControlPr xmlns="http://schemas.microsoft.com/office/spreadsheetml/2009/9/main" objectType="CheckBox" fmlaLink="★計算基準!$K$4"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89647</xdr:colOff>
      <xdr:row>0</xdr:row>
      <xdr:rowOff>114300</xdr:rowOff>
    </xdr:from>
    <xdr:to>
      <xdr:col>39</xdr:col>
      <xdr:colOff>100854</xdr:colOff>
      <xdr:row>2</xdr:row>
      <xdr:rowOff>28575</xdr:rowOff>
    </xdr:to>
    <xdr:sp macro="" textlink="">
      <xdr:nvSpPr>
        <xdr:cNvPr id="1025" name="Text Box 1">
          <a:extLst>
            <a:ext uri="{FF2B5EF4-FFF2-40B4-BE49-F238E27FC236}">
              <a16:creationId xmlns:a16="http://schemas.microsoft.com/office/drawing/2014/main" id="{00000000-0008-0000-0000-000001040000}"/>
            </a:ext>
          </a:extLst>
        </xdr:cNvPr>
        <xdr:cNvSpPr txBox="1">
          <a:spLocks noChangeArrowheads="1"/>
        </xdr:cNvSpPr>
      </xdr:nvSpPr>
      <xdr:spPr bwMode="auto">
        <a:xfrm>
          <a:off x="89647" y="114300"/>
          <a:ext cx="8191501" cy="407334"/>
        </a:xfrm>
        <a:prstGeom prst="rect">
          <a:avLst/>
        </a:prstGeom>
        <a:ln>
          <a:headEnd/>
          <a:tailEnd/>
        </a:ln>
      </xdr:spPr>
      <xdr:style>
        <a:lnRef idx="1">
          <a:schemeClr val="accent1"/>
        </a:lnRef>
        <a:fillRef idx="3">
          <a:schemeClr val="accent1"/>
        </a:fillRef>
        <a:effectRef idx="2">
          <a:schemeClr val="accent1"/>
        </a:effectRef>
        <a:fontRef idx="minor">
          <a:schemeClr val="lt1"/>
        </a:fontRef>
      </xdr:style>
      <xdr:txBody>
        <a:bodyPr vertOverflow="clip" wrap="square" lIns="45720" tIns="22860" rIns="45720" bIns="22860" anchor="ctr" upright="1"/>
        <a:lstStyle/>
        <a:p>
          <a:pPr algn="ctr" rtl="0">
            <a:defRPr sz="1000"/>
          </a:pPr>
          <a:r>
            <a:rPr lang="ja-JP" altLang="en-US" sz="1800" b="0" i="0" u="none" strike="noStrike" baseline="0">
              <a:solidFill>
                <a:srgbClr val="FFFFFF"/>
              </a:solidFill>
              <a:latin typeface="メイリオ" pitchFamily="50" charset="-128"/>
              <a:ea typeface="メイリオ" pitchFamily="50" charset="-128"/>
              <a:cs typeface="メイリオ" pitchFamily="50" charset="-128"/>
            </a:rPr>
            <a:t>令和</a:t>
          </a:r>
          <a:r>
            <a:rPr lang="en-US" altLang="ja-JP" sz="1800" b="0" i="0" u="none" strike="noStrike" baseline="0">
              <a:solidFill>
                <a:srgbClr val="FFFFFF"/>
              </a:solidFill>
              <a:latin typeface="メイリオ" pitchFamily="50" charset="-128"/>
              <a:ea typeface="メイリオ" pitchFamily="50" charset="-128"/>
              <a:cs typeface="メイリオ" pitchFamily="50" charset="-128"/>
            </a:rPr>
            <a:t>7</a:t>
          </a:r>
          <a:r>
            <a:rPr lang="ja-JP" altLang="en-US" sz="1800" b="0" i="0" u="none" strike="noStrike" baseline="0">
              <a:solidFill>
                <a:srgbClr val="FFFFFF"/>
              </a:solidFill>
              <a:latin typeface="メイリオ" pitchFamily="50" charset="-128"/>
              <a:ea typeface="メイリオ" pitchFamily="50" charset="-128"/>
              <a:cs typeface="メイリオ" pitchFamily="50" charset="-128"/>
            </a:rPr>
            <a:t>年度　福岡市　国民健康保険料の試算シート</a:t>
          </a:r>
        </a:p>
      </xdr:txBody>
    </xdr:sp>
    <xdr:clientData/>
  </xdr:twoCellAnchor>
  <xdr:twoCellAnchor>
    <xdr:from>
      <xdr:col>1</xdr:col>
      <xdr:colOff>0</xdr:colOff>
      <xdr:row>2</xdr:row>
      <xdr:rowOff>123826</xdr:rowOff>
    </xdr:from>
    <xdr:to>
      <xdr:col>39</xdr:col>
      <xdr:colOff>145677</xdr:colOff>
      <xdr:row>3</xdr:row>
      <xdr:rowOff>228600</xdr:rowOff>
    </xdr:to>
    <xdr:sp macro="" textlink="">
      <xdr:nvSpPr>
        <xdr:cNvPr id="1026" name="Text Box 2">
          <a:extLst>
            <a:ext uri="{FF2B5EF4-FFF2-40B4-BE49-F238E27FC236}">
              <a16:creationId xmlns:a16="http://schemas.microsoft.com/office/drawing/2014/main" id="{00000000-0008-0000-0000-000002040000}"/>
            </a:ext>
          </a:extLst>
        </xdr:cNvPr>
        <xdr:cNvSpPr txBox="1">
          <a:spLocks noChangeArrowheads="1"/>
        </xdr:cNvSpPr>
      </xdr:nvSpPr>
      <xdr:spPr bwMode="auto">
        <a:xfrm>
          <a:off x="190500" y="616885"/>
          <a:ext cx="8135471" cy="351303"/>
        </a:xfrm>
        <a:prstGeom prst="rect">
          <a:avLst/>
        </a:prstGeom>
        <a:solidFill>
          <a:srgbClr val="FFFFFF"/>
        </a:solidFill>
        <a:ln w="9525">
          <a:noFill/>
          <a:prstDash val="dash"/>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rgbClr val="000000"/>
              </a:solidFill>
              <a:latin typeface="Meiryo UI" panose="020B0604030504040204" pitchFamily="50" charset="-128"/>
              <a:ea typeface="Meiryo UI" panose="020B0604030504040204" pitchFamily="50" charset="-128"/>
            </a:rPr>
            <a:t>この計算シートでは、おおよその年間保険料と</a:t>
          </a:r>
          <a:r>
            <a:rPr lang="en-US" altLang="ja-JP" sz="1050" b="0" i="0" u="none" strike="noStrike" baseline="0">
              <a:solidFill>
                <a:srgbClr val="000000"/>
              </a:solidFill>
              <a:latin typeface="Meiryo UI" panose="020B0604030504040204" pitchFamily="50" charset="-128"/>
              <a:ea typeface="Meiryo UI" panose="020B0604030504040204" pitchFamily="50" charset="-128"/>
            </a:rPr>
            <a:t>1</a:t>
          </a:r>
          <a:r>
            <a:rPr lang="ja-JP" altLang="en-US" sz="1050" b="0" i="0" u="none" strike="noStrike" baseline="0">
              <a:solidFill>
                <a:srgbClr val="000000"/>
              </a:solidFill>
              <a:latin typeface="Meiryo UI" panose="020B0604030504040204" pitchFamily="50" charset="-128"/>
              <a:ea typeface="Meiryo UI" panose="020B0604030504040204" pitchFamily="50" charset="-128"/>
            </a:rPr>
            <a:t>ヶ月あたりの保険料の計算ができます。</a:t>
          </a:r>
          <a:endParaRPr lang="en-US" altLang="ja-JP" sz="1050" b="0"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8</xdr:col>
      <xdr:colOff>133350</xdr:colOff>
      <xdr:row>22</xdr:row>
      <xdr:rowOff>9525</xdr:rowOff>
    </xdr:from>
    <xdr:to>
      <xdr:col>10</xdr:col>
      <xdr:colOff>9525</xdr:colOff>
      <xdr:row>22</xdr:row>
      <xdr:rowOff>238125</xdr:rowOff>
    </xdr:to>
    <xdr:grpSp>
      <xdr:nvGrpSpPr>
        <xdr:cNvPr id="6903" name="Group 11">
          <a:extLst>
            <a:ext uri="{FF2B5EF4-FFF2-40B4-BE49-F238E27FC236}">
              <a16:creationId xmlns:a16="http://schemas.microsoft.com/office/drawing/2014/main" id="{00000000-0008-0000-0000-0000F71A0000}"/>
            </a:ext>
          </a:extLst>
        </xdr:cNvPr>
        <xdr:cNvGrpSpPr>
          <a:grpSpLocks/>
        </xdr:cNvGrpSpPr>
      </xdr:nvGrpSpPr>
      <xdr:grpSpPr bwMode="auto">
        <a:xfrm>
          <a:off x="1696427" y="6933467"/>
          <a:ext cx="291367" cy="228600"/>
          <a:chOff x="135" y="487"/>
          <a:chExt cx="29" cy="24"/>
        </a:xfrm>
      </xdr:grpSpPr>
      <xdr:sp macro="" textlink="">
        <xdr:nvSpPr>
          <xdr:cNvPr id="6924" name="Oval 9">
            <a:extLst>
              <a:ext uri="{FF2B5EF4-FFF2-40B4-BE49-F238E27FC236}">
                <a16:creationId xmlns:a16="http://schemas.microsoft.com/office/drawing/2014/main" id="{00000000-0008-0000-0000-00000C1B0000}"/>
              </a:ext>
            </a:extLst>
          </xdr:cNvPr>
          <xdr:cNvSpPr>
            <a:spLocks noChangeArrowheads="1"/>
          </xdr:cNvSpPr>
        </xdr:nvSpPr>
        <xdr:spPr bwMode="auto">
          <a:xfrm>
            <a:off x="135" y="487"/>
            <a:ext cx="24" cy="24"/>
          </a:xfrm>
          <a:prstGeom prst="ellipse">
            <a:avLst/>
          </a:prstGeom>
          <a:solidFill>
            <a:srgbClr val="000000"/>
          </a:solidFill>
          <a:ln w="9525">
            <a:solidFill>
              <a:srgbClr val="000000"/>
            </a:solidFill>
            <a:round/>
            <a:headEnd/>
            <a:tailEnd/>
          </a:ln>
        </xdr:spPr>
      </xdr:sp>
      <xdr:sp macro="" textlink="">
        <xdr:nvSpPr>
          <xdr:cNvPr id="1034" name="Text Box 10">
            <a:extLst>
              <a:ext uri="{FF2B5EF4-FFF2-40B4-BE49-F238E27FC236}">
                <a16:creationId xmlns:a16="http://schemas.microsoft.com/office/drawing/2014/main" id="{00000000-0008-0000-0000-00000A040000}"/>
              </a:ext>
            </a:extLst>
          </xdr:cNvPr>
          <xdr:cNvSpPr txBox="1">
            <a:spLocks noChangeArrowheads="1"/>
          </xdr:cNvSpPr>
        </xdr:nvSpPr>
        <xdr:spPr bwMode="auto">
          <a:xfrm>
            <a:off x="135" y="487"/>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Ｐゴシック"/>
                <a:ea typeface="ＭＳ Ｐゴシック"/>
              </a:rPr>
              <a:t>1</a:t>
            </a:r>
          </a:p>
        </xdr:txBody>
      </xdr:sp>
    </xdr:grpSp>
    <xdr:clientData/>
  </xdr:twoCellAnchor>
  <xdr:twoCellAnchor>
    <xdr:from>
      <xdr:col>15</xdr:col>
      <xdr:colOff>142875</xdr:colOff>
      <xdr:row>22</xdr:row>
      <xdr:rowOff>9525</xdr:rowOff>
    </xdr:from>
    <xdr:to>
      <xdr:col>17</xdr:col>
      <xdr:colOff>19050</xdr:colOff>
      <xdr:row>22</xdr:row>
      <xdr:rowOff>238125</xdr:rowOff>
    </xdr:to>
    <xdr:grpSp>
      <xdr:nvGrpSpPr>
        <xdr:cNvPr id="6904" name="Group 18">
          <a:extLst>
            <a:ext uri="{FF2B5EF4-FFF2-40B4-BE49-F238E27FC236}">
              <a16:creationId xmlns:a16="http://schemas.microsoft.com/office/drawing/2014/main" id="{00000000-0008-0000-0000-0000F81A0000}"/>
            </a:ext>
          </a:extLst>
        </xdr:cNvPr>
        <xdr:cNvGrpSpPr>
          <a:grpSpLocks/>
        </xdr:cNvGrpSpPr>
      </xdr:nvGrpSpPr>
      <xdr:grpSpPr bwMode="auto">
        <a:xfrm>
          <a:off x="3159125" y="6933467"/>
          <a:ext cx="291367" cy="228600"/>
          <a:chOff x="248" y="493"/>
          <a:chExt cx="29" cy="24"/>
        </a:xfrm>
      </xdr:grpSpPr>
      <xdr:sp macro="" textlink="">
        <xdr:nvSpPr>
          <xdr:cNvPr id="6922" name="Oval 13">
            <a:extLst>
              <a:ext uri="{FF2B5EF4-FFF2-40B4-BE49-F238E27FC236}">
                <a16:creationId xmlns:a16="http://schemas.microsoft.com/office/drawing/2014/main" id="{00000000-0008-0000-0000-00000A1B0000}"/>
              </a:ext>
            </a:extLst>
          </xdr:cNvPr>
          <xdr:cNvSpPr>
            <a:spLocks noChangeArrowheads="1"/>
          </xdr:cNvSpPr>
        </xdr:nvSpPr>
        <xdr:spPr bwMode="auto">
          <a:xfrm>
            <a:off x="249" y="493"/>
            <a:ext cx="24" cy="24"/>
          </a:xfrm>
          <a:prstGeom prst="ellipse">
            <a:avLst/>
          </a:prstGeom>
          <a:solidFill>
            <a:srgbClr val="000000"/>
          </a:solidFill>
          <a:ln w="9525">
            <a:solidFill>
              <a:srgbClr val="000000"/>
            </a:solidFill>
            <a:round/>
            <a:headEnd/>
            <a:tailEnd/>
          </a:ln>
        </xdr:spPr>
      </xdr:sp>
      <xdr:sp macro="" textlink="">
        <xdr:nvSpPr>
          <xdr:cNvPr id="1038" name="Text Box 14">
            <a:extLst>
              <a:ext uri="{FF2B5EF4-FFF2-40B4-BE49-F238E27FC236}">
                <a16:creationId xmlns:a16="http://schemas.microsoft.com/office/drawing/2014/main" id="{00000000-0008-0000-0000-00000E040000}"/>
              </a:ext>
            </a:extLst>
          </xdr:cNvPr>
          <xdr:cNvSpPr txBox="1">
            <a:spLocks noChangeArrowheads="1"/>
          </xdr:cNvSpPr>
        </xdr:nvSpPr>
        <xdr:spPr bwMode="auto">
          <a:xfrm>
            <a:off x="248" y="493"/>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Ｐゴシック"/>
                <a:ea typeface="ＭＳ Ｐゴシック"/>
              </a:rPr>
              <a:t>2</a:t>
            </a:r>
          </a:p>
        </xdr:txBody>
      </xdr:sp>
    </xdr:grpSp>
    <xdr:clientData/>
  </xdr:twoCellAnchor>
  <xdr:twoCellAnchor>
    <xdr:from>
      <xdr:col>22</xdr:col>
      <xdr:colOff>171450</xdr:colOff>
      <xdr:row>22</xdr:row>
      <xdr:rowOff>9525</xdr:rowOff>
    </xdr:from>
    <xdr:to>
      <xdr:col>24</xdr:col>
      <xdr:colOff>47625</xdr:colOff>
      <xdr:row>22</xdr:row>
      <xdr:rowOff>238125</xdr:rowOff>
    </xdr:to>
    <xdr:grpSp>
      <xdr:nvGrpSpPr>
        <xdr:cNvPr id="6905" name="Group 19">
          <a:extLst>
            <a:ext uri="{FF2B5EF4-FFF2-40B4-BE49-F238E27FC236}">
              <a16:creationId xmlns:a16="http://schemas.microsoft.com/office/drawing/2014/main" id="{00000000-0008-0000-0000-0000F91A0000}"/>
            </a:ext>
          </a:extLst>
        </xdr:cNvPr>
        <xdr:cNvGrpSpPr>
          <a:grpSpLocks/>
        </xdr:cNvGrpSpPr>
      </xdr:nvGrpSpPr>
      <xdr:grpSpPr bwMode="auto">
        <a:xfrm>
          <a:off x="4640873" y="6933467"/>
          <a:ext cx="291367" cy="228600"/>
          <a:chOff x="373" y="493"/>
          <a:chExt cx="29" cy="24"/>
        </a:xfrm>
      </xdr:grpSpPr>
      <xdr:sp macro="" textlink="">
        <xdr:nvSpPr>
          <xdr:cNvPr id="6920" name="Oval 16">
            <a:extLst>
              <a:ext uri="{FF2B5EF4-FFF2-40B4-BE49-F238E27FC236}">
                <a16:creationId xmlns:a16="http://schemas.microsoft.com/office/drawing/2014/main" id="{00000000-0008-0000-0000-0000081B0000}"/>
              </a:ext>
            </a:extLst>
          </xdr:cNvPr>
          <xdr:cNvSpPr>
            <a:spLocks noChangeArrowheads="1"/>
          </xdr:cNvSpPr>
        </xdr:nvSpPr>
        <xdr:spPr bwMode="auto">
          <a:xfrm>
            <a:off x="374" y="493"/>
            <a:ext cx="24" cy="24"/>
          </a:xfrm>
          <a:prstGeom prst="ellipse">
            <a:avLst/>
          </a:prstGeom>
          <a:solidFill>
            <a:srgbClr val="000000"/>
          </a:solidFill>
          <a:ln w="9525">
            <a:solidFill>
              <a:srgbClr val="000000"/>
            </a:solidFill>
            <a:round/>
            <a:headEnd/>
            <a:tailEnd/>
          </a:ln>
        </xdr:spPr>
      </xdr:sp>
      <xdr:sp macro="" textlink="">
        <xdr:nvSpPr>
          <xdr:cNvPr id="1041" name="Text Box 17">
            <a:extLst>
              <a:ext uri="{FF2B5EF4-FFF2-40B4-BE49-F238E27FC236}">
                <a16:creationId xmlns:a16="http://schemas.microsoft.com/office/drawing/2014/main" id="{00000000-0008-0000-0000-000011040000}"/>
              </a:ext>
            </a:extLst>
          </xdr:cNvPr>
          <xdr:cNvSpPr txBox="1">
            <a:spLocks noChangeArrowheads="1"/>
          </xdr:cNvSpPr>
        </xdr:nvSpPr>
        <xdr:spPr bwMode="auto">
          <a:xfrm>
            <a:off x="373" y="493"/>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Ｐゴシック"/>
                <a:ea typeface="ＭＳ Ｐゴシック"/>
              </a:rPr>
              <a:t>3</a:t>
            </a:r>
          </a:p>
        </xdr:txBody>
      </xdr:sp>
    </xdr:grpSp>
    <xdr:clientData/>
  </xdr:twoCellAnchor>
  <xdr:twoCellAnchor>
    <xdr:from>
      <xdr:col>29</xdr:col>
      <xdr:colOff>85725</xdr:colOff>
      <xdr:row>32</xdr:row>
      <xdr:rowOff>104775</xdr:rowOff>
    </xdr:from>
    <xdr:to>
      <xdr:col>30</xdr:col>
      <xdr:colOff>161925</xdr:colOff>
      <xdr:row>32</xdr:row>
      <xdr:rowOff>333375</xdr:rowOff>
    </xdr:to>
    <xdr:grpSp>
      <xdr:nvGrpSpPr>
        <xdr:cNvPr id="6906" name="Group 32">
          <a:extLst>
            <a:ext uri="{FF2B5EF4-FFF2-40B4-BE49-F238E27FC236}">
              <a16:creationId xmlns:a16="http://schemas.microsoft.com/office/drawing/2014/main" id="{00000000-0008-0000-0000-0000FA1A0000}"/>
            </a:ext>
          </a:extLst>
        </xdr:cNvPr>
        <xdr:cNvGrpSpPr>
          <a:grpSpLocks/>
        </xdr:cNvGrpSpPr>
      </xdr:nvGrpSpPr>
      <xdr:grpSpPr bwMode="auto">
        <a:xfrm>
          <a:off x="6008321" y="9898429"/>
          <a:ext cx="283796" cy="228600"/>
          <a:chOff x="248" y="493"/>
          <a:chExt cx="29" cy="24"/>
        </a:xfrm>
      </xdr:grpSpPr>
      <xdr:sp macro="" textlink="">
        <xdr:nvSpPr>
          <xdr:cNvPr id="6918" name="Oval 33">
            <a:extLst>
              <a:ext uri="{FF2B5EF4-FFF2-40B4-BE49-F238E27FC236}">
                <a16:creationId xmlns:a16="http://schemas.microsoft.com/office/drawing/2014/main" id="{00000000-0008-0000-0000-0000061B0000}"/>
              </a:ext>
            </a:extLst>
          </xdr:cNvPr>
          <xdr:cNvSpPr>
            <a:spLocks noChangeArrowheads="1"/>
          </xdr:cNvSpPr>
        </xdr:nvSpPr>
        <xdr:spPr bwMode="auto">
          <a:xfrm>
            <a:off x="249" y="493"/>
            <a:ext cx="24" cy="24"/>
          </a:xfrm>
          <a:prstGeom prst="ellipse">
            <a:avLst/>
          </a:prstGeom>
          <a:solidFill>
            <a:srgbClr val="000000"/>
          </a:solidFill>
          <a:ln w="9525">
            <a:solidFill>
              <a:srgbClr val="000000"/>
            </a:solidFill>
            <a:round/>
            <a:headEnd/>
            <a:tailEnd/>
          </a:ln>
        </xdr:spPr>
      </xdr:sp>
      <xdr:sp macro="" textlink="">
        <xdr:nvSpPr>
          <xdr:cNvPr id="1058" name="Text Box 34">
            <a:extLst>
              <a:ext uri="{FF2B5EF4-FFF2-40B4-BE49-F238E27FC236}">
                <a16:creationId xmlns:a16="http://schemas.microsoft.com/office/drawing/2014/main" id="{00000000-0008-0000-0000-000022040000}"/>
              </a:ext>
            </a:extLst>
          </xdr:cNvPr>
          <xdr:cNvSpPr txBox="1">
            <a:spLocks noChangeArrowheads="1"/>
          </xdr:cNvSpPr>
        </xdr:nvSpPr>
        <xdr:spPr bwMode="auto">
          <a:xfrm>
            <a:off x="248" y="493"/>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ja-JP" altLang="en-US" sz="1100" b="1" i="0" u="none" strike="noStrike" baseline="0">
                <a:solidFill>
                  <a:srgbClr val="FFFFFF"/>
                </a:solidFill>
                <a:latin typeface="ＭＳ Ｐゴシック"/>
                <a:ea typeface="ＭＳ Ｐゴシック"/>
              </a:rPr>
              <a:t>＝</a:t>
            </a:r>
          </a:p>
        </xdr:txBody>
      </xdr:sp>
    </xdr:grpSp>
    <xdr:clientData/>
  </xdr:twoCellAnchor>
  <xdr:twoCellAnchor>
    <xdr:from>
      <xdr:col>0</xdr:col>
      <xdr:colOff>175981</xdr:colOff>
      <xdr:row>3</xdr:row>
      <xdr:rowOff>493058</xdr:rowOff>
    </xdr:from>
    <xdr:to>
      <xdr:col>10</xdr:col>
      <xdr:colOff>22411</xdr:colOff>
      <xdr:row>5</xdr:row>
      <xdr:rowOff>34177</xdr:rowOff>
    </xdr:to>
    <xdr:sp macro="" textlink="">
      <xdr:nvSpPr>
        <xdr:cNvPr id="24" name="角丸四角形 23">
          <a:extLst>
            <a:ext uri="{FF2B5EF4-FFF2-40B4-BE49-F238E27FC236}">
              <a16:creationId xmlns:a16="http://schemas.microsoft.com/office/drawing/2014/main" id="{00000000-0008-0000-0000-000018000000}"/>
            </a:ext>
          </a:extLst>
        </xdr:cNvPr>
        <xdr:cNvSpPr/>
      </xdr:nvSpPr>
      <xdr:spPr>
        <a:xfrm>
          <a:off x="175981" y="1232646"/>
          <a:ext cx="1874695" cy="684119"/>
        </a:xfrm>
        <a:prstGeom prst="roundRect">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lumMod val="75000"/>
                  <a:lumOff val="25000"/>
                </a:schemeClr>
              </a:solidFill>
              <a:latin typeface="Meiryo UI" panose="020B0604030504040204" pitchFamily="50" charset="-128"/>
              <a:ea typeface="Meiryo UI" panose="020B0604030504040204" pitchFamily="50" charset="-128"/>
            </a:rPr>
            <a:t>年齢区分</a:t>
          </a:r>
        </a:p>
      </xdr:txBody>
    </xdr:sp>
    <xdr:clientData/>
  </xdr:twoCellAnchor>
  <xdr:twoCellAnchor>
    <xdr:from>
      <xdr:col>0</xdr:col>
      <xdr:colOff>181366</xdr:colOff>
      <xdr:row>5</xdr:row>
      <xdr:rowOff>83484</xdr:rowOff>
    </xdr:from>
    <xdr:to>
      <xdr:col>10</xdr:col>
      <xdr:colOff>7845</xdr:colOff>
      <xdr:row>6</xdr:row>
      <xdr:rowOff>504265</xdr:rowOff>
    </xdr:to>
    <xdr:sp macro="" textlink="">
      <xdr:nvSpPr>
        <xdr:cNvPr id="25" name="角丸四角形 24">
          <a:extLst>
            <a:ext uri="{FF2B5EF4-FFF2-40B4-BE49-F238E27FC236}">
              <a16:creationId xmlns:a16="http://schemas.microsoft.com/office/drawing/2014/main" id="{00000000-0008-0000-0000-000019000000}"/>
            </a:ext>
          </a:extLst>
        </xdr:cNvPr>
        <xdr:cNvSpPr/>
      </xdr:nvSpPr>
      <xdr:spPr>
        <a:xfrm>
          <a:off x="181366" y="1966072"/>
          <a:ext cx="1854744" cy="801781"/>
        </a:xfrm>
        <a:prstGeom prst="roundRect">
          <a:avLst>
            <a:gd name="adj" fmla="val 12474"/>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u="none">
              <a:solidFill>
                <a:schemeClr val="tx1">
                  <a:lumMod val="75000"/>
                  <a:lumOff val="25000"/>
                </a:schemeClr>
              </a:solidFill>
              <a:latin typeface="Meiryo UI" panose="020B0604030504040204" pitchFamily="50" charset="-128"/>
              <a:ea typeface="Meiryo UI" panose="020B0604030504040204" pitchFamily="50" charset="-128"/>
              <a:cs typeface="+mn-cs"/>
            </a:rPr>
            <a:t>収入金額等</a:t>
          </a:r>
          <a:endParaRPr lang="ja-JP" altLang="ja-JP" sz="1100" u="none">
            <a:solidFill>
              <a:schemeClr val="tx1">
                <a:lumMod val="75000"/>
                <a:lumOff val="25000"/>
              </a:schemeClr>
            </a:solidFill>
            <a:latin typeface="Meiryo UI" panose="020B0604030504040204" pitchFamily="50" charset="-128"/>
            <a:ea typeface="Meiryo UI" panose="020B0604030504040204" pitchFamily="50" charset="-128"/>
          </a:endParaRPr>
        </a:p>
      </xdr:txBody>
    </xdr:sp>
    <xdr:clientData/>
  </xdr:twoCellAnchor>
  <xdr:twoCellAnchor>
    <xdr:from>
      <xdr:col>0</xdr:col>
      <xdr:colOff>180122</xdr:colOff>
      <xdr:row>6</xdr:row>
      <xdr:rowOff>549090</xdr:rowOff>
    </xdr:from>
    <xdr:to>
      <xdr:col>10</xdr:col>
      <xdr:colOff>7844</xdr:colOff>
      <xdr:row>7</xdr:row>
      <xdr:rowOff>666994</xdr:rowOff>
    </xdr:to>
    <xdr:sp macro="" textlink="">
      <xdr:nvSpPr>
        <xdr:cNvPr id="26" name="角丸四角形 25">
          <a:extLst>
            <a:ext uri="{FF2B5EF4-FFF2-40B4-BE49-F238E27FC236}">
              <a16:creationId xmlns:a16="http://schemas.microsoft.com/office/drawing/2014/main" id="{00000000-0008-0000-0000-00001A000000}"/>
            </a:ext>
          </a:extLst>
        </xdr:cNvPr>
        <xdr:cNvSpPr/>
      </xdr:nvSpPr>
      <xdr:spPr>
        <a:xfrm>
          <a:off x="180122" y="2812678"/>
          <a:ext cx="1855987" cy="745434"/>
        </a:xfrm>
        <a:prstGeom prst="roundRect">
          <a:avLst>
            <a:gd name="adj" fmla="val 13660"/>
          </a:avLst>
        </a:prstGeom>
        <a:solidFill>
          <a:schemeClr val="bg1">
            <a:lumMod val="8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lumMod val="75000"/>
                  <a:lumOff val="25000"/>
                </a:schemeClr>
              </a:solidFill>
              <a:latin typeface="Meiryo UI" panose="020B0604030504040204" pitchFamily="50" charset="-128"/>
              <a:ea typeface="Meiryo UI" panose="020B0604030504040204" pitchFamily="50" charset="-128"/>
            </a:rPr>
            <a:t>非自発的失業者</a:t>
          </a:r>
        </a:p>
      </xdr:txBody>
    </xdr:sp>
    <xdr:clientData/>
  </xdr:twoCellAnchor>
  <xdr:twoCellAnchor>
    <xdr:from>
      <xdr:col>10</xdr:col>
      <xdr:colOff>57151</xdr:colOff>
      <xdr:row>3</xdr:row>
      <xdr:rowOff>515471</xdr:rowOff>
    </xdr:from>
    <xdr:to>
      <xdr:col>39</xdr:col>
      <xdr:colOff>89647</xdr:colOff>
      <xdr:row>5</xdr:row>
      <xdr:rowOff>22972</xdr:rowOff>
    </xdr:to>
    <xdr:sp macro="" textlink="">
      <xdr:nvSpPr>
        <xdr:cNvPr id="27" name="角丸四角形 26">
          <a:extLst>
            <a:ext uri="{FF2B5EF4-FFF2-40B4-BE49-F238E27FC236}">
              <a16:creationId xmlns:a16="http://schemas.microsoft.com/office/drawing/2014/main" id="{00000000-0008-0000-0000-00001B000000}"/>
            </a:ext>
          </a:extLst>
        </xdr:cNvPr>
        <xdr:cNvSpPr/>
      </xdr:nvSpPr>
      <xdr:spPr>
        <a:xfrm>
          <a:off x="2085416" y="1255059"/>
          <a:ext cx="6184525" cy="650501"/>
        </a:xfrm>
        <a:prstGeom prst="roundRect">
          <a:avLst>
            <a:gd name="adj" fmla="val 0"/>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nSpc>
              <a:spcPts val="1100"/>
            </a:lnSpc>
          </a:pPr>
          <a:r>
            <a:rPr lang="ja-JP" altLang="ja-JP" sz="1000" b="0" i="0" baseline="0">
              <a:solidFill>
                <a:sysClr val="windowText" lastClr="000000"/>
              </a:solidFill>
              <a:latin typeface="Meiryo UI" panose="020B0604030504040204" pitchFamily="50" charset="-128"/>
              <a:ea typeface="Meiryo UI" panose="020B0604030504040204" pitchFamily="50" charset="-128"/>
              <a:cs typeface="+mn-cs"/>
            </a:rPr>
            <a:t>加入</a:t>
          </a:r>
          <a:r>
            <a:rPr lang="ja-JP" altLang="en-US" sz="1000" b="0" i="0" baseline="0">
              <a:solidFill>
                <a:sysClr val="windowText" lastClr="000000"/>
              </a:solidFill>
              <a:latin typeface="Meiryo UI" panose="020B0604030504040204" pitchFamily="50" charset="-128"/>
              <a:ea typeface="Meiryo UI" panose="020B0604030504040204" pitchFamily="50" charset="-128"/>
              <a:cs typeface="+mn-cs"/>
            </a:rPr>
            <a:t>者</a:t>
          </a:r>
          <a:r>
            <a:rPr lang="ja-JP" altLang="ja-JP" sz="1000" b="0" i="0" baseline="0">
              <a:solidFill>
                <a:sysClr val="windowText" lastClr="000000"/>
              </a:solidFill>
              <a:latin typeface="Meiryo UI" panose="020B0604030504040204" pitchFamily="50" charset="-128"/>
              <a:ea typeface="Meiryo UI" panose="020B0604030504040204" pitchFamily="50" charset="-128"/>
              <a:cs typeface="+mn-cs"/>
            </a:rPr>
            <a:t>の年齢区分「</a:t>
          </a:r>
          <a:r>
            <a:rPr lang="ja-JP" altLang="en-US" sz="1000" b="0" i="0" baseline="0">
              <a:solidFill>
                <a:srgbClr val="FF0000"/>
              </a:solidFill>
              <a:latin typeface="Meiryo UI" panose="020B0604030504040204" pitchFamily="50" charset="-128"/>
              <a:ea typeface="Meiryo UI" panose="020B0604030504040204" pitchFamily="50" charset="-128"/>
              <a:cs typeface="+mn-cs"/>
            </a:rPr>
            <a:t>未就学児</a:t>
          </a:r>
          <a:r>
            <a:rPr lang="ja-JP" altLang="en-US" sz="1000" b="0" i="0" baseline="0">
              <a:solidFill>
                <a:sysClr val="windowText" lastClr="000000"/>
              </a:solidFill>
              <a:latin typeface="Meiryo UI" panose="020B0604030504040204" pitchFamily="50" charset="-128"/>
              <a:ea typeface="Meiryo UI" panose="020B0604030504040204" pitchFamily="50" charset="-128"/>
              <a:cs typeface="+mn-cs"/>
            </a:rPr>
            <a:t>」、「</a:t>
          </a:r>
          <a:r>
            <a:rPr lang="ja-JP" altLang="en-US" sz="1000" b="0" i="0" baseline="0">
              <a:solidFill>
                <a:srgbClr val="FF0000"/>
              </a:solidFill>
              <a:latin typeface="Meiryo UI" panose="020B0604030504040204" pitchFamily="50" charset="-128"/>
              <a:ea typeface="Meiryo UI" panose="020B0604030504040204" pitchFamily="50" charset="-128"/>
              <a:cs typeface="+mn-cs"/>
            </a:rPr>
            <a:t>小学生</a:t>
          </a:r>
          <a:r>
            <a:rPr lang="ja-JP" altLang="en-US" sz="1000" b="0" i="0" baseline="0">
              <a:solidFill>
                <a:sysClr val="windowText" lastClr="000000"/>
              </a:solidFill>
              <a:latin typeface="Meiryo UI" panose="020B0604030504040204" pitchFamily="50" charset="-128"/>
              <a:ea typeface="Meiryo UI" panose="020B0604030504040204" pitchFamily="50" charset="-128"/>
              <a:cs typeface="+mn-cs"/>
            </a:rPr>
            <a:t>から中学生</a:t>
          </a:r>
          <a:r>
            <a:rPr lang="ja-JP" altLang="ja-JP" sz="1000" b="0" i="0" baseline="0">
              <a:solidFill>
                <a:sysClr val="windowText" lastClr="000000"/>
              </a:solidFill>
              <a:latin typeface="Meiryo UI" panose="020B0604030504040204" pitchFamily="50" charset="-128"/>
              <a:ea typeface="Meiryo UI" panose="020B0604030504040204" pitchFamily="50" charset="-128"/>
              <a:cs typeface="+mn-cs"/>
            </a:rPr>
            <a:t>」</a:t>
          </a:r>
          <a:r>
            <a:rPr lang="ja-JP" altLang="en-US" sz="1000" b="0" i="0" baseline="0">
              <a:solidFill>
                <a:sysClr val="windowText" lastClr="000000"/>
              </a:solidFill>
              <a:latin typeface="Meiryo UI" panose="020B0604030504040204" pitchFamily="50" charset="-128"/>
              <a:ea typeface="Meiryo UI" panose="020B0604030504040204" pitchFamily="50" charset="-128"/>
              <a:cs typeface="+mn-cs"/>
            </a:rPr>
            <a:t>、「１５歳から３９歳」、</a:t>
          </a:r>
          <a:r>
            <a:rPr lang="ja-JP" altLang="ja-JP" sz="1000" b="0" i="0" baseline="0">
              <a:solidFill>
                <a:sysClr val="windowText" lastClr="000000"/>
              </a:solidFill>
              <a:latin typeface="Meiryo UI" panose="020B0604030504040204" pitchFamily="50" charset="-128"/>
              <a:ea typeface="Meiryo UI" panose="020B0604030504040204" pitchFamily="50" charset="-128"/>
              <a:cs typeface="+mn-cs"/>
            </a:rPr>
            <a:t>「４０歳から６４歳」</a:t>
          </a:r>
          <a:r>
            <a:rPr lang="ja-JP" altLang="en-US" sz="1000" b="0" i="0" baseline="0">
              <a:solidFill>
                <a:sysClr val="windowText" lastClr="000000"/>
              </a:solidFill>
              <a:latin typeface="Meiryo UI" panose="020B0604030504040204" pitchFamily="50" charset="-128"/>
              <a:ea typeface="Meiryo UI" panose="020B0604030504040204" pitchFamily="50" charset="-128"/>
              <a:cs typeface="+mn-cs"/>
            </a:rPr>
            <a:t>、</a:t>
          </a:r>
          <a:r>
            <a:rPr lang="ja-JP" altLang="ja-JP" sz="1000" b="0" i="0" baseline="0">
              <a:solidFill>
                <a:sysClr val="windowText" lastClr="000000"/>
              </a:solidFill>
              <a:latin typeface="Meiryo UI" panose="020B0604030504040204" pitchFamily="50" charset="-128"/>
              <a:ea typeface="Meiryo UI" panose="020B0604030504040204" pitchFamily="50" charset="-128"/>
              <a:cs typeface="+mn-cs"/>
            </a:rPr>
            <a:t>「６５歳から７４歳」</a:t>
          </a:r>
          <a:r>
            <a:rPr lang="ja-JP" altLang="en-US" sz="1000" b="0" i="0" baseline="0">
              <a:solidFill>
                <a:sysClr val="windowText" lastClr="000000"/>
              </a:solidFill>
              <a:latin typeface="Meiryo UI" panose="020B0604030504040204" pitchFamily="50" charset="-128"/>
              <a:ea typeface="Meiryo UI" panose="020B0604030504040204" pitchFamily="50" charset="-128"/>
              <a:cs typeface="+mn-cs"/>
            </a:rPr>
            <a:t>のいずれかを</a:t>
          </a:r>
          <a:r>
            <a:rPr lang="ja-JP" altLang="ja-JP" sz="1000" b="0" i="0" baseline="0">
              <a:solidFill>
                <a:sysClr val="windowText" lastClr="000000"/>
              </a:solidFill>
              <a:latin typeface="Meiryo UI" panose="020B0604030504040204" pitchFamily="50" charset="-128"/>
              <a:ea typeface="Meiryo UI" panose="020B0604030504040204" pitchFamily="50" charset="-128"/>
              <a:cs typeface="+mn-cs"/>
            </a:rPr>
            <a:t>選択してください。</a:t>
          </a:r>
          <a:endParaRPr kumimoji="1" lang="ja-JP" altLang="ja-JP" sz="1000">
            <a:solidFill>
              <a:sysClr val="windowText" lastClr="000000"/>
            </a:solidFill>
            <a:latin typeface="Meiryo UI" panose="020B0604030504040204" pitchFamily="50" charset="-128"/>
            <a:ea typeface="Meiryo UI" panose="020B0604030504040204" pitchFamily="50" charset="-128"/>
            <a:cs typeface="+mn-cs"/>
          </a:endParaRPr>
        </a:p>
      </xdr:txBody>
    </xdr:sp>
    <xdr:clientData/>
  </xdr:twoCellAnchor>
  <xdr:twoCellAnchor>
    <xdr:from>
      <xdr:col>10</xdr:col>
      <xdr:colOff>36420</xdr:colOff>
      <xdr:row>5</xdr:row>
      <xdr:rowOff>93009</xdr:rowOff>
    </xdr:from>
    <xdr:to>
      <xdr:col>39</xdr:col>
      <xdr:colOff>89648</xdr:colOff>
      <xdr:row>6</xdr:row>
      <xdr:rowOff>515470</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2064685" y="1975597"/>
          <a:ext cx="6205257" cy="803461"/>
        </a:xfrm>
        <a:prstGeom prst="roundRect">
          <a:avLst>
            <a:gd name="adj" fmla="val 0"/>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2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世帯主及び加入者の</a:t>
          </a:r>
          <a:r>
            <a:rPr lang="ja-JP" altLang="en-US" sz="1000" b="0" i="0" u="none" strike="noStrike" baseline="0">
              <a:solidFill>
                <a:srgbClr val="FF0000"/>
              </a:solidFill>
              <a:latin typeface="Meiryo UI" panose="020B0604030504040204" pitchFamily="50" charset="-128"/>
              <a:ea typeface="Meiryo UI" panose="020B0604030504040204" pitchFamily="50" charset="-128"/>
            </a:rPr>
            <a:t>令和</a:t>
          </a:r>
          <a:r>
            <a:rPr lang="en-US" altLang="ja-JP" sz="1000" b="0" i="0" u="none" strike="noStrike" baseline="0">
              <a:solidFill>
                <a:srgbClr val="FF0000"/>
              </a:solidFill>
              <a:latin typeface="Meiryo UI" panose="020B0604030504040204" pitchFamily="50" charset="-128"/>
              <a:ea typeface="Meiryo UI" panose="020B0604030504040204" pitchFamily="50" charset="-128"/>
            </a:rPr>
            <a:t>6</a:t>
          </a:r>
          <a:r>
            <a:rPr lang="ja-JP" altLang="en-US" sz="1000" b="0" i="0" u="none" strike="noStrike" baseline="0">
              <a:solidFill>
                <a:srgbClr val="FF0000"/>
              </a:solidFill>
              <a:latin typeface="Meiryo UI" panose="020B0604030504040204" pitchFamily="50" charset="-128"/>
              <a:ea typeface="Meiryo UI" panose="020B0604030504040204" pitchFamily="50" charset="-128"/>
            </a:rPr>
            <a:t>年中</a:t>
          </a:r>
          <a:r>
            <a:rPr lang="ja-JP" altLang="en-US" sz="1000" b="0" i="0" u="none" strike="noStrike" baseline="0">
              <a:solidFill>
                <a:srgbClr val="000000"/>
              </a:solidFill>
              <a:latin typeface="Meiryo UI" panose="020B0604030504040204" pitchFamily="50" charset="-128"/>
              <a:ea typeface="Meiryo UI" panose="020B0604030504040204" pitchFamily="50" charset="-128"/>
            </a:rPr>
            <a:t>の収入金額等を入力してください。</a:t>
          </a:r>
        </a:p>
        <a:p>
          <a:pPr algn="l" rtl="0">
            <a:lnSpc>
              <a:spcPts val="12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世帯主は、加入しない場合でも必ず入力してください。</a:t>
          </a:r>
          <a:endParaRPr lang="en-US" altLang="ja-JP" sz="10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2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給与・年金については</a:t>
          </a:r>
          <a:r>
            <a:rPr lang="ja-JP" altLang="en-US" sz="1000" b="0" i="0" u="none" strike="noStrike" baseline="0">
              <a:solidFill>
                <a:srgbClr val="FF0000"/>
              </a:solidFill>
              <a:latin typeface="Meiryo UI" panose="020B0604030504040204" pitchFamily="50" charset="-128"/>
              <a:ea typeface="Meiryo UI" panose="020B0604030504040204" pitchFamily="50" charset="-128"/>
            </a:rPr>
            <a:t>収入金額</a:t>
          </a:r>
          <a:r>
            <a:rPr lang="ja-JP" altLang="en-US" sz="1000" b="0" i="0" u="none" strike="noStrike" baseline="0">
              <a:solidFill>
                <a:srgbClr val="000000"/>
              </a:solidFill>
              <a:latin typeface="Meiryo UI" panose="020B0604030504040204" pitchFamily="50" charset="-128"/>
              <a:ea typeface="Meiryo UI" panose="020B0604030504040204" pitchFamily="50" charset="-128"/>
            </a:rPr>
            <a:t>を、その他所得（営業、不動産所得等）がある方は</a:t>
          </a:r>
          <a:r>
            <a:rPr lang="ja-JP" altLang="en-US" sz="1000" b="0" i="0" u="none" strike="noStrike" baseline="0">
              <a:solidFill>
                <a:srgbClr val="FF0000"/>
              </a:solidFill>
              <a:latin typeface="Meiryo UI" panose="020B0604030504040204" pitchFamily="50" charset="-128"/>
              <a:ea typeface="Meiryo UI" panose="020B0604030504040204" pitchFamily="50" charset="-128"/>
            </a:rPr>
            <a:t>その他所得</a:t>
          </a:r>
          <a:r>
            <a:rPr lang="ja-JP" altLang="en-US" sz="1000" b="0" i="0" u="none" strike="noStrike" baseline="0">
              <a:solidFill>
                <a:srgbClr val="000000"/>
              </a:solidFill>
              <a:latin typeface="Meiryo UI" panose="020B0604030504040204" pitchFamily="50" charset="-128"/>
              <a:ea typeface="Meiryo UI" panose="020B0604030504040204" pitchFamily="50" charset="-128"/>
            </a:rPr>
            <a:t>に入力してください。</a:t>
          </a:r>
        </a:p>
      </xdr:txBody>
    </xdr:sp>
    <xdr:clientData/>
  </xdr:twoCellAnchor>
  <xdr:twoCellAnchor>
    <xdr:from>
      <xdr:col>10</xdr:col>
      <xdr:colOff>36418</xdr:colOff>
      <xdr:row>6</xdr:row>
      <xdr:rowOff>581027</xdr:rowOff>
    </xdr:from>
    <xdr:to>
      <xdr:col>39</xdr:col>
      <xdr:colOff>100853</xdr:colOff>
      <xdr:row>7</xdr:row>
      <xdr:rowOff>683559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2064683" y="2844615"/>
          <a:ext cx="6216464" cy="730062"/>
        </a:xfrm>
        <a:prstGeom prst="roundRect">
          <a:avLst>
            <a:gd name="adj" fmla="val 0"/>
          </a:avLst>
        </a:prstGeom>
        <a:solidFill>
          <a:schemeClr val="bg1">
            <a:lumMod val="9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lnSpc>
              <a:spcPts val="1200"/>
            </a:lnSpc>
            <a:defRPr sz="1000"/>
          </a:pPr>
          <a:r>
            <a:rPr lang="ja-JP" altLang="en-US" sz="1000" b="0" i="0" u="none" strike="noStrike" baseline="0">
              <a:solidFill>
                <a:srgbClr val="000000"/>
              </a:solidFill>
              <a:latin typeface="Meiryo UI" panose="020B0604030504040204" pitchFamily="50" charset="-128"/>
              <a:ea typeface="Meiryo UI" panose="020B0604030504040204" pitchFamily="50" charset="-128"/>
            </a:rPr>
            <a:t>前年中の所得に</a:t>
          </a:r>
          <a:r>
            <a:rPr lang="ja-JP" altLang="en-US" sz="1000" b="0" i="0" u="none" strike="noStrike" baseline="0">
              <a:solidFill>
                <a:srgbClr val="FF0000"/>
              </a:solidFill>
              <a:latin typeface="Meiryo UI" panose="020B0604030504040204" pitchFamily="50" charset="-128"/>
              <a:ea typeface="Meiryo UI" panose="020B0604030504040204" pitchFamily="50" charset="-128"/>
            </a:rPr>
            <a:t>給与所得</a:t>
          </a:r>
          <a:r>
            <a:rPr lang="ja-JP" altLang="en-US" sz="1000" b="0" i="0" u="none" strike="noStrike" baseline="0">
              <a:solidFill>
                <a:sysClr val="windowText" lastClr="000000"/>
              </a:solidFill>
              <a:latin typeface="Meiryo UI" panose="020B0604030504040204" pitchFamily="50" charset="-128"/>
              <a:ea typeface="Meiryo UI" panose="020B0604030504040204" pitchFamily="50" charset="-128"/>
            </a:rPr>
            <a:t>がある</a:t>
          </a:r>
          <a:r>
            <a:rPr lang="ja-JP" altLang="en-US" sz="1000" b="0" i="0" u="none" strike="noStrike" baseline="0">
              <a:solidFill>
                <a:srgbClr val="000000"/>
              </a:solidFill>
              <a:latin typeface="Meiryo UI" panose="020B0604030504040204" pitchFamily="50" charset="-128"/>
              <a:ea typeface="Meiryo UI" panose="020B0604030504040204" pitchFamily="50" charset="-128"/>
            </a:rPr>
            <a:t>方で離職日時点での年齢が</a:t>
          </a:r>
          <a:r>
            <a:rPr lang="ja-JP" altLang="en-US" sz="1000" b="0" i="0" u="none" strike="noStrike" baseline="0">
              <a:solidFill>
                <a:srgbClr val="FF0000"/>
              </a:solidFill>
              <a:latin typeface="Meiryo UI" panose="020B0604030504040204" pitchFamily="50" charset="-128"/>
              <a:ea typeface="Meiryo UI" panose="020B0604030504040204" pitchFamily="50" charset="-128"/>
            </a:rPr>
            <a:t>６４歳以下</a:t>
          </a:r>
          <a:r>
            <a:rPr lang="ja-JP" altLang="en-US" sz="1000" b="0" i="0" u="none" strike="noStrike" baseline="0">
              <a:solidFill>
                <a:srgbClr val="000000"/>
              </a:solidFill>
              <a:latin typeface="Meiryo UI" panose="020B0604030504040204" pitchFamily="50" charset="-128"/>
              <a:ea typeface="Meiryo UI" panose="020B0604030504040204" pitchFamily="50" charset="-128"/>
            </a:rPr>
            <a:t>、かつ離職理由が</a:t>
          </a:r>
          <a:r>
            <a:rPr lang="ja-JP" altLang="en-US" sz="1000" b="0" i="0" u="none" strike="noStrike" baseline="0">
              <a:solidFill>
                <a:srgbClr val="FF0000"/>
              </a:solidFill>
              <a:latin typeface="Meiryo UI" panose="020B0604030504040204" pitchFamily="50" charset="-128"/>
              <a:ea typeface="Meiryo UI" panose="020B0604030504040204" pitchFamily="50" charset="-128"/>
            </a:rPr>
            <a:t>倒産</a:t>
          </a:r>
          <a:r>
            <a:rPr lang="ja-JP" altLang="en-US" sz="1000" b="0" i="0" u="none" strike="noStrike" baseline="0">
              <a:solidFill>
                <a:sysClr val="windowText" lastClr="000000"/>
              </a:solidFill>
              <a:latin typeface="Meiryo UI" panose="020B0604030504040204" pitchFamily="50" charset="-128"/>
              <a:ea typeface="Meiryo UI" panose="020B0604030504040204" pitchFamily="50" charset="-128"/>
            </a:rPr>
            <a:t>、</a:t>
          </a:r>
          <a:r>
            <a:rPr lang="ja-JP" altLang="en-US" sz="1000" b="0" i="0" u="none" strike="noStrike" baseline="0">
              <a:solidFill>
                <a:srgbClr val="FF0000"/>
              </a:solidFill>
              <a:latin typeface="Meiryo UI" panose="020B0604030504040204" pitchFamily="50" charset="-128"/>
              <a:ea typeface="Meiryo UI" panose="020B0604030504040204" pitchFamily="50" charset="-128"/>
            </a:rPr>
            <a:t>解雇</a:t>
          </a:r>
          <a:r>
            <a:rPr lang="ja-JP" altLang="en-US" sz="1000" b="0" i="0" u="none" strike="noStrike" baseline="0">
              <a:solidFill>
                <a:sysClr val="windowText" lastClr="000000"/>
              </a:solidFill>
              <a:latin typeface="Meiryo UI" panose="020B0604030504040204" pitchFamily="50" charset="-128"/>
              <a:ea typeface="Meiryo UI" panose="020B0604030504040204" pitchFamily="50" charset="-128"/>
            </a:rPr>
            <a:t>、</a:t>
          </a:r>
          <a:r>
            <a:rPr lang="ja-JP" altLang="en-US" sz="1000" b="0" i="0" u="none" strike="noStrike" baseline="0">
              <a:solidFill>
                <a:srgbClr val="FF0000"/>
              </a:solidFill>
              <a:latin typeface="Meiryo UI" panose="020B0604030504040204" pitchFamily="50" charset="-128"/>
              <a:ea typeface="Meiryo UI" panose="020B0604030504040204" pitchFamily="50" charset="-128"/>
            </a:rPr>
            <a:t>雇い止め</a:t>
          </a:r>
          <a:r>
            <a:rPr lang="ja-JP" altLang="en-US" sz="1000" b="0" i="0" u="none" strike="noStrike" baseline="0">
              <a:solidFill>
                <a:srgbClr val="000000"/>
              </a:solidFill>
              <a:latin typeface="Meiryo UI" panose="020B0604030504040204" pitchFamily="50" charset="-128"/>
              <a:ea typeface="Meiryo UI" panose="020B0604030504040204" pitchFamily="50" charset="-128"/>
            </a:rPr>
            <a:t>などによる方は□にチェックを入れてください。</a:t>
          </a:r>
        </a:p>
      </xdr:txBody>
    </xdr:sp>
    <xdr:clientData/>
  </xdr:twoCellAnchor>
  <xdr:twoCellAnchor>
    <xdr:from>
      <xdr:col>0</xdr:col>
      <xdr:colOff>161924</xdr:colOff>
      <xdr:row>44</xdr:row>
      <xdr:rowOff>152402</xdr:rowOff>
    </xdr:from>
    <xdr:to>
      <xdr:col>39</xdr:col>
      <xdr:colOff>179295</xdr:colOff>
      <xdr:row>56</xdr:row>
      <xdr:rowOff>56030</xdr:rowOff>
    </xdr:to>
    <xdr:sp macro="" textlink="">
      <xdr:nvSpPr>
        <xdr:cNvPr id="30" name="角丸四角形 29">
          <a:extLst>
            <a:ext uri="{FF2B5EF4-FFF2-40B4-BE49-F238E27FC236}">
              <a16:creationId xmlns:a16="http://schemas.microsoft.com/office/drawing/2014/main" id="{00000000-0008-0000-0000-00001E000000}"/>
            </a:ext>
          </a:extLst>
        </xdr:cNvPr>
        <xdr:cNvSpPr/>
      </xdr:nvSpPr>
      <xdr:spPr>
        <a:xfrm>
          <a:off x="161924" y="12590931"/>
          <a:ext cx="8197665" cy="2861981"/>
        </a:xfrm>
        <a:prstGeom prst="roundRect">
          <a:avLst>
            <a:gd name="adj" fmla="val 4657"/>
          </a:avLst>
        </a:prstGeom>
        <a:solidFill>
          <a:schemeClr val="bg1">
            <a:lumMod val="9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l" rtl="0">
            <a:defRPr sz="1000"/>
          </a:pPr>
          <a:endParaRPr lang="ja-JP" altLang="en-US" sz="1100" b="0" i="0" u="none" strike="noStrike" baseline="0">
            <a:solidFill>
              <a:srgbClr val="333333"/>
            </a:solidFill>
            <a:latin typeface="Calibri"/>
          </a:endParaRPr>
        </a:p>
        <a:p>
          <a:pPr algn="l" rtl="0">
            <a:defRPr sz="1000"/>
          </a:pPr>
          <a:endParaRPr lang="ja-JP" altLang="en-US" sz="1050" b="0" i="0" u="none" strike="noStrike" baseline="0">
            <a:solidFill>
              <a:srgbClr val="333333"/>
            </a:solidFill>
            <a:latin typeface="Calibri"/>
          </a:endParaRPr>
        </a:p>
        <a:p>
          <a:pPr algn="l" rtl="0">
            <a:lnSpc>
              <a:spcPts val="1300"/>
            </a:lnSpc>
            <a:defRPr sz="1000"/>
          </a:pPr>
          <a:r>
            <a:rPr lang="ja-JP" altLang="en-US" sz="1050" b="0" i="0" u="none" strike="noStrike" baseline="0">
              <a:solidFill>
                <a:srgbClr val="FF0000"/>
              </a:solidFill>
              <a:latin typeface="Meiryo UI" panose="020B0604030504040204" pitchFamily="50" charset="-128"/>
              <a:ea typeface="Meiryo UI" panose="020B0604030504040204" pitchFamily="50" charset="-128"/>
            </a:rPr>
            <a:t>※上記結果はあくまでも試算であり、実際の保険料額と異なる場合があります。</a:t>
          </a:r>
          <a:endParaRPr lang="en-US" altLang="ja-JP" sz="1050" b="0" i="0" u="none" strike="noStrike" baseline="0">
            <a:solidFill>
              <a:srgbClr val="FF0000"/>
            </a:solidFill>
            <a:latin typeface="Meiryo UI" panose="020B0604030504040204" pitchFamily="50" charset="-128"/>
            <a:ea typeface="Meiryo UI" panose="020B0604030504040204" pitchFamily="50" charset="-128"/>
          </a:endParaRPr>
        </a:p>
        <a:p>
          <a:pPr algn="l" rtl="0">
            <a:lnSpc>
              <a:spcPts val="1300"/>
            </a:lnSpc>
            <a:defRPr sz="1000"/>
          </a:pPr>
          <a:r>
            <a:rPr lang="ja-JP" altLang="en-US" sz="1050" b="0" i="0" u="none" strike="noStrike" baseline="0">
              <a:solidFill>
                <a:srgbClr val="FF0000"/>
              </a:solidFill>
              <a:latin typeface="Meiryo UI" panose="020B0604030504040204" pitchFamily="50" charset="-128"/>
              <a:ea typeface="Meiryo UI" panose="020B0604030504040204" pitchFamily="50" charset="-128"/>
            </a:rPr>
            <a:t>　 （特に未就学児にかかる均等割額の減額と多子世帯減免がどちらも適用されている世帯で</a:t>
          </a:r>
          <a:r>
            <a:rPr lang="en-US" altLang="ja-JP" sz="1050" b="0" i="0" u="none" strike="noStrike" baseline="0">
              <a:solidFill>
                <a:srgbClr val="FF0000"/>
              </a:solidFill>
              <a:latin typeface="Meiryo UI" panose="020B0604030504040204" pitchFamily="50" charset="-128"/>
              <a:ea typeface="Meiryo UI" panose="020B0604030504040204" pitchFamily="50" charset="-128"/>
            </a:rPr>
            <a:t>100</a:t>
          </a:r>
          <a:r>
            <a:rPr lang="ja-JP" altLang="en-US" sz="1050" b="0" i="0" u="none" strike="noStrike" baseline="0">
              <a:solidFill>
                <a:srgbClr val="FF0000"/>
              </a:solidFill>
              <a:latin typeface="Meiryo UI" panose="020B0604030504040204" pitchFamily="50" charset="-128"/>
              <a:ea typeface="Meiryo UI" panose="020B0604030504040204" pitchFamily="50" charset="-128"/>
            </a:rPr>
            <a:t>円程度異なる場合があります。）</a:t>
          </a:r>
        </a:p>
        <a:p>
          <a:pPr algn="l" rtl="0">
            <a:defRPr sz="1000"/>
          </a:pPr>
          <a:r>
            <a:rPr lang="ja-JP" altLang="en-US" sz="1050" b="0" i="0" u="none" strike="noStrike" baseline="0">
              <a:solidFill>
                <a:srgbClr val="333333"/>
              </a:solidFill>
              <a:latin typeface="Meiryo UI" panose="020B0604030504040204" pitchFamily="50" charset="-128"/>
              <a:ea typeface="Meiryo UI" panose="020B0604030504040204" pitchFamily="50" charset="-128"/>
            </a:rPr>
            <a:t>※年度の途中に</a:t>
          </a:r>
          <a:r>
            <a:rPr lang="ja-JP" altLang="en-US" sz="1050" b="0" i="0" u="sng" strike="noStrike" baseline="0">
              <a:solidFill>
                <a:srgbClr val="333333"/>
              </a:solidFill>
              <a:latin typeface="Meiryo UI" panose="020B0604030504040204" pitchFamily="50" charset="-128"/>
              <a:ea typeface="Meiryo UI" panose="020B0604030504040204" pitchFamily="50" charset="-128"/>
            </a:rPr>
            <a:t>加入者の所得</a:t>
          </a:r>
          <a:r>
            <a:rPr lang="ja-JP" altLang="en-US" sz="1050" b="0" i="0" u="none" strike="noStrike" baseline="0">
              <a:solidFill>
                <a:srgbClr val="333333"/>
              </a:solidFill>
              <a:latin typeface="Meiryo UI" panose="020B0604030504040204" pitchFamily="50" charset="-128"/>
              <a:ea typeface="Meiryo UI" panose="020B0604030504040204" pitchFamily="50" charset="-128"/>
            </a:rPr>
            <a:t>や</a:t>
          </a:r>
          <a:r>
            <a:rPr lang="ja-JP" altLang="en-US" sz="1050" b="0" i="0" u="sng" strike="noStrike" baseline="0">
              <a:solidFill>
                <a:srgbClr val="333333"/>
              </a:solidFill>
              <a:latin typeface="Meiryo UI" panose="020B0604030504040204" pitchFamily="50" charset="-128"/>
              <a:ea typeface="Meiryo UI" panose="020B0604030504040204" pitchFamily="50" charset="-128"/>
            </a:rPr>
            <a:t>加入人数</a:t>
          </a:r>
          <a:r>
            <a:rPr lang="ja-JP" altLang="en-US" sz="1050" b="0" i="0" u="none" strike="noStrike" baseline="0">
              <a:solidFill>
                <a:srgbClr val="333333"/>
              </a:solidFill>
              <a:latin typeface="Meiryo UI" panose="020B0604030504040204" pitchFamily="50" charset="-128"/>
              <a:ea typeface="Meiryo UI" panose="020B0604030504040204" pitchFamily="50" charset="-128"/>
            </a:rPr>
            <a:t>が変わる場合は、このシートでは正しく計算できません。</a:t>
          </a:r>
        </a:p>
        <a:p>
          <a:pPr algn="l" rtl="0">
            <a:defRPr sz="1000"/>
          </a:pPr>
          <a:r>
            <a:rPr lang="ja-JP" altLang="en-US" sz="1050" b="0" i="0" u="none" strike="noStrike" baseline="0">
              <a:solidFill>
                <a:srgbClr val="333333"/>
              </a:solidFill>
              <a:latin typeface="Meiryo UI" panose="020B0604030504040204" pitchFamily="50" charset="-128"/>
              <a:ea typeface="Meiryo UI" panose="020B0604030504040204" pitchFamily="50" charset="-128"/>
            </a:rPr>
            <a:t>※次のいずれかの項目に該当する場合は、このシートでは正しく計算できません。</a:t>
          </a:r>
        </a:p>
        <a:p>
          <a:pPr algn="l" rtl="0">
            <a:defRPr sz="1000"/>
          </a:pPr>
          <a:r>
            <a:rPr lang="ja-JP" altLang="en-US" sz="1050" b="0" i="0" u="none" strike="noStrike" baseline="0">
              <a:solidFill>
                <a:srgbClr val="333333"/>
              </a:solidFill>
              <a:latin typeface="Meiryo UI" panose="020B0604030504040204" pitchFamily="50" charset="-128"/>
              <a:ea typeface="Meiryo UI" panose="020B0604030504040204" pitchFamily="50" charset="-128"/>
            </a:rPr>
            <a:t>　（１）年度の途中に加入者が４０歳に到達し、介護保険第２号被保険者となる場合</a:t>
          </a:r>
        </a:p>
        <a:p>
          <a:pPr algn="l" rtl="0">
            <a:defRPr sz="1000"/>
          </a:pPr>
          <a:r>
            <a:rPr lang="ja-JP" altLang="en-US" sz="1050" b="0" i="0" u="none" strike="noStrike" baseline="0">
              <a:solidFill>
                <a:srgbClr val="333333"/>
              </a:solidFill>
              <a:latin typeface="Meiryo UI" panose="020B0604030504040204" pitchFamily="50" charset="-128"/>
              <a:ea typeface="Meiryo UI" panose="020B0604030504040204" pitchFamily="50" charset="-128"/>
            </a:rPr>
            <a:t>　（２）年度の途中に加入者が６５歳に到達し、介護保険第２号被保険者でなくなる（介護保険第１号被保険者となる）場合</a:t>
          </a:r>
        </a:p>
        <a:p>
          <a:pPr algn="l" rtl="0">
            <a:lnSpc>
              <a:spcPts val="1300"/>
            </a:lnSpc>
            <a:defRPr sz="1000"/>
          </a:pPr>
          <a:r>
            <a:rPr lang="ja-JP" altLang="en-US" sz="1050" b="0" i="0" u="none" strike="noStrike" baseline="0">
              <a:solidFill>
                <a:srgbClr val="333333"/>
              </a:solidFill>
              <a:latin typeface="Meiryo UI" panose="020B0604030504040204" pitchFamily="50" charset="-128"/>
              <a:ea typeface="Meiryo UI" panose="020B0604030504040204" pitchFamily="50" charset="-128"/>
            </a:rPr>
            <a:t>　（３）年度の途中に加入者が後期高齢者医療制度に加入し、残った国民健康保険の加入者が１人となる場合</a:t>
          </a:r>
        </a:p>
        <a:p>
          <a:pPr algn="l" rtl="0">
            <a:defRPr sz="1000"/>
          </a:pPr>
          <a:r>
            <a:rPr lang="ja-JP" altLang="en-US" sz="1050" b="0" i="0" u="none" strike="noStrike" baseline="0">
              <a:solidFill>
                <a:srgbClr val="333333"/>
              </a:solidFill>
              <a:latin typeface="Meiryo UI" panose="020B0604030504040204" pitchFamily="50" charset="-128"/>
              <a:ea typeface="Meiryo UI" panose="020B0604030504040204" pitchFamily="50" charset="-128"/>
            </a:rPr>
            <a:t>　（４）専従者給与がある場合</a:t>
          </a:r>
        </a:p>
        <a:p>
          <a:pPr algn="l" rtl="0">
            <a:defRPr sz="1000"/>
          </a:pPr>
          <a:r>
            <a:rPr lang="ja-JP" altLang="en-US" sz="1050" b="0" i="0" u="none" strike="noStrike" baseline="0">
              <a:solidFill>
                <a:srgbClr val="333333"/>
              </a:solidFill>
              <a:latin typeface="Meiryo UI" panose="020B0604030504040204" pitchFamily="50" charset="-128"/>
              <a:ea typeface="Meiryo UI" panose="020B0604030504040204" pitchFamily="50" charset="-128"/>
            </a:rPr>
            <a:t>　（５）専従者控除を必要経費に算入している場合</a:t>
          </a:r>
        </a:p>
        <a:p>
          <a:pPr algn="l" rtl="0">
            <a:lnSpc>
              <a:spcPts val="1300"/>
            </a:lnSpc>
            <a:defRPr sz="1000"/>
          </a:pPr>
          <a:r>
            <a:rPr lang="ja-JP" altLang="en-US" sz="1050" b="0" i="0" u="none" strike="noStrike" baseline="0">
              <a:solidFill>
                <a:srgbClr val="333333"/>
              </a:solidFill>
              <a:latin typeface="Meiryo UI" panose="020B0604030504040204" pitchFamily="50" charset="-128"/>
              <a:ea typeface="Meiryo UI" panose="020B0604030504040204" pitchFamily="50" charset="-128"/>
            </a:rPr>
            <a:t>　（６）総所得金額に分離課税所得（土地・株式等の譲渡所得等）がある場合</a:t>
          </a:r>
        </a:p>
      </xdr:txBody>
    </xdr:sp>
    <xdr:clientData/>
  </xdr:twoCellAnchor>
  <xdr:twoCellAnchor editAs="oneCell">
    <xdr:from>
      <xdr:col>0</xdr:col>
      <xdr:colOff>285750</xdr:colOff>
      <xdr:row>44</xdr:row>
      <xdr:rowOff>228600</xdr:rowOff>
    </xdr:from>
    <xdr:to>
      <xdr:col>2</xdr:col>
      <xdr:colOff>179294</xdr:colOff>
      <xdr:row>46</xdr:row>
      <xdr:rowOff>76200</xdr:rowOff>
    </xdr:to>
    <xdr:pic>
      <xdr:nvPicPr>
        <xdr:cNvPr id="6914" name="図 30" descr="error_mark.gif">
          <a:extLst>
            <a:ext uri="{FF2B5EF4-FFF2-40B4-BE49-F238E27FC236}">
              <a16:creationId xmlns:a16="http://schemas.microsoft.com/office/drawing/2014/main" id="{00000000-0008-0000-0000-0000021B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0" y="10791825"/>
          <a:ext cx="3810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76200</xdr:colOff>
      <xdr:row>45</xdr:row>
      <xdr:rowOff>19050</xdr:rowOff>
    </xdr:from>
    <xdr:ext cx="1104900" cy="275717"/>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647700" y="10677525"/>
          <a:ext cx="1104900"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l"/>
          <a:r>
            <a:rPr kumimoji="1" lang="ja-JP" altLang="en-US" sz="1200" b="1">
              <a:solidFill>
                <a:srgbClr val="C00000"/>
              </a:solidFill>
              <a:latin typeface="Meiryo UI" panose="020B0604030504040204" pitchFamily="50" charset="-128"/>
              <a:ea typeface="Meiryo UI" panose="020B0604030504040204" pitchFamily="50" charset="-128"/>
            </a:rPr>
            <a:t>注意事項</a:t>
          </a:r>
        </a:p>
      </xdr:txBody>
    </xdr:sp>
    <xdr:clientData/>
  </xdr:oneCellAnchor>
  <xdr:twoCellAnchor>
    <xdr:from>
      <xdr:col>0</xdr:col>
      <xdr:colOff>175931</xdr:colOff>
      <xdr:row>3</xdr:row>
      <xdr:rowOff>159684</xdr:rowOff>
    </xdr:from>
    <xdr:to>
      <xdr:col>16</xdr:col>
      <xdr:colOff>67234</xdr:colOff>
      <xdr:row>3</xdr:row>
      <xdr:rowOff>441512</xdr:rowOff>
    </xdr:to>
    <xdr:sp macro="" textlink="">
      <xdr:nvSpPr>
        <xdr:cNvPr id="33" name="Text Box 2">
          <a:extLst>
            <a:ext uri="{FF2B5EF4-FFF2-40B4-BE49-F238E27FC236}">
              <a16:creationId xmlns:a16="http://schemas.microsoft.com/office/drawing/2014/main" id="{00000000-0008-0000-0000-000021000000}"/>
            </a:ext>
          </a:extLst>
        </xdr:cNvPr>
        <xdr:cNvSpPr txBox="1">
          <a:spLocks noChangeArrowheads="1"/>
        </xdr:cNvSpPr>
      </xdr:nvSpPr>
      <xdr:spPr bwMode="auto">
        <a:xfrm>
          <a:off x="175931" y="899272"/>
          <a:ext cx="3197038" cy="281828"/>
        </a:xfrm>
        <a:prstGeom prst="rect">
          <a:avLst/>
        </a:prstGeom>
        <a:solidFill>
          <a:srgbClr val="FFFFFF"/>
        </a:solidFill>
        <a:ln w="9525">
          <a:noFill/>
          <a:prstDash val="dash"/>
          <a:miter lim="800000"/>
          <a:headEnd/>
          <a:tailEnd/>
        </a:ln>
      </xdr:spPr>
      <xdr:txBody>
        <a:bodyPr vertOverflow="clip" wrap="square" lIns="27432" tIns="18288" rIns="0" bIns="0" anchor="ctr" upright="1"/>
        <a:lstStyle/>
        <a:p>
          <a:pPr algn="l" rtl="0">
            <a:defRPr sz="1000"/>
          </a:pPr>
          <a:r>
            <a:rPr lang="ja-JP" altLang="en-US" sz="1050" b="0" i="0" u="none" strike="noStrike" baseline="0">
              <a:solidFill>
                <a:sysClr val="windowText" lastClr="000000"/>
              </a:solidFill>
              <a:latin typeface="Meiryo UI" panose="020B0604030504040204" pitchFamily="50" charset="-128"/>
              <a:ea typeface="Meiryo UI" panose="020B0604030504040204" pitchFamily="50" charset="-128"/>
            </a:rPr>
            <a:t>必要な項目を入力してください。</a:t>
          </a:r>
          <a:endParaRPr lang="en-US" altLang="ja-JP" sz="1050" b="0" i="0" u="none" strike="noStrike" baseline="0">
            <a:solidFill>
              <a:sysClr val="windowText" lastClr="000000"/>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xdr:from>
          <xdr:col>7</xdr:col>
          <xdr:colOff>171450</xdr:colOff>
          <xdr:row>9</xdr:row>
          <xdr:rowOff>0</xdr:rowOff>
        </xdr:from>
        <xdr:to>
          <xdr:col>15</xdr:col>
          <xdr:colOff>180975</xdr:colOff>
          <xdr:row>10</xdr:row>
          <xdr:rowOff>0</xdr:rowOff>
        </xdr:to>
        <xdr:sp macro="" textlink="">
          <xdr:nvSpPr>
            <xdr:cNvPr id="1075" name="Drop Dow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161925</xdr:colOff>
          <xdr:row>11</xdr:row>
          <xdr:rowOff>0</xdr:rowOff>
        </xdr:from>
        <xdr:to>
          <xdr:col>15</xdr:col>
          <xdr:colOff>171450</xdr:colOff>
          <xdr:row>12</xdr:row>
          <xdr:rowOff>0</xdr:rowOff>
        </xdr:to>
        <xdr:sp macro="" textlink="">
          <xdr:nvSpPr>
            <xdr:cNvPr id="1087" name="Drop Dow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161925</xdr:colOff>
          <xdr:row>13</xdr:row>
          <xdr:rowOff>0</xdr:rowOff>
        </xdr:from>
        <xdr:to>
          <xdr:col>15</xdr:col>
          <xdr:colOff>171450</xdr:colOff>
          <xdr:row>14</xdr:row>
          <xdr:rowOff>0</xdr:rowOff>
        </xdr:to>
        <xdr:sp macro="" textlink="">
          <xdr:nvSpPr>
            <xdr:cNvPr id="1088" name="Drop Down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171450</xdr:colOff>
          <xdr:row>15</xdr:row>
          <xdr:rowOff>0</xdr:rowOff>
        </xdr:from>
        <xdr:to>
          <xdr:col>15</xdr:col>
          <xdr:colOff>180975</xdr:colOff>
          <xdr:row>16</xdr:row>
          <xdr:rowOff>0</xdr:rowOff>
        </xdr:to>
        <xdr:sp macro="" textlink="">
          <xdr:nvSpPr>
            <xdr:cNvPr id="1089" name="Drop Down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171450</xdr:colOff>
          <xdr:row>17</xdr:row>
          <xdr:rowOff>0</xdr:rowOff>
        </xdr:from>
        <xdr:to>
          <xdr:col>15</xdr:col>
          <xdr:colOff>180975</xdr:colOff>
          <xdr:row>18</xdr:row>
          <xdr:rowOff>0</xdr:rowOff>
        </xdr:to>
        <xdr:sp macro="" textlink="">
          <xdr:nvSpPr>
            <xdr:cNvPr id="1090" name="Drop Down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7</xdr:col>
          <xdr:colOff>171450</xdr:colOff>
          <xdr:row>19</xdr:row>
          <xdr:rowOff>0</xdr:rowOff>
        </xdr:from>
        <xdr:to>
          <xdr:col>15</xdr:col>
          <xdr:colOff>180975</xdr:colOff>
          <xdr:row>20</xdr:row>
          <xdr:rowOff>0</xdr:rowOff>
        </xdr:to>
        <xdr:sp macro="" textlink="">
          <xdr:nvSpPr>
            <xdr:cNvPr id="1091" name="Drop Down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9</xdr:row>
          <xdr:rowOff>9525</xdr:rowOff>
        </xdr:from>
        <xdr:to>
          <xdr:col>39</xdr:col>
          <xdr:colOff>57150</xdr:colOff>
          <xdr:row>9</xdr:row>
          <xdr:rowOff>228600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13</xdr:row>
          <xdr:rowOff>19050</xdr:rowOff>
        </xdr:from>
        <xdr:to>
          <xdr:col>39</xdr:col>
          <xdr:colOff>57150</xdr:colOff>
          <xdr:row>13</xdr:row>
          <xdr:rowOff>238125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11</xdr:row>
          <xdr:rowOff>19050</xdr:rowOff>
        </xdr:from>
        <xdr:to>
          <xdr:col>39</xdr:col>
          <xdr:colOff>57150</xdr:colOff>
          <xdr:row>11</xdr:row>
          <xdr:rowOff>238125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19</xdr:row>
          <xdr:rowOff>9525</xdr:rowOff>
        </xdr:from>
        <xdr:to>
          <xdr:col>39</xdr:col>
          <xdr:colOff>57150</xdr:colOff>
          <xdr:row>19</xdr:row>
          <xdr:rowOff>228600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17</xdr:row>
          <xdr:rowOff>9525</xdr:rowOff>
        </xdr:from>
        <xdr:to>
          <xdr:col>39</xdr:col>
          <xdr:colOff>57150</xdr:colOff>
          <xdr:row>17</xdr:row>
          <xdr:rowOff>228600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15</xdr:row>
          <xdr:rowOff>19050</xdr:rowOff>
        </xdr:from>
        <xdr:to>
          <xdr:col>39</xdr:col>
          <xdr:colOff>57150</xdr:colOff>
          <xdr:row>15</xdr:row>
          <xdr:rowOff>238125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180975</xdr:colOff>
          <xdr:row>9</xdr:row>
          <xdr:rowOff>9525</xdr:rowOff>
        </xdr:from>
        <xdr:to>
          <xdr:col>7</xdr:col>
          <xdr:colOff>142875</xdr:colOff>
          <xdr:row>9</xdr:row>
          <xdr:rowOff>228600</xdr:rowOff>
        </xdr:to>
        <xdr:sp macro="" textlink="">
          <xdr:nvSpPr>
            <xdr:cNvPr id="1102" name="Drop Dow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7466" name="AutoShape 1">
          <a:extLst>
            <a:ext uri="{FF2B5EF4-FFF2-40B4-BE49-F238E27FC236}">
              <a16:creationId xmlns:a16="http://schemas.microsoft.com/office/drawing/2014/main" id="{00000000-0008-0000-0100-00002A1D0000}"/>
            </a:ext>
          </a:extLst>
        </xdr:cNvPr>
        <xdr:cNvSpPr>
          <a:spLocks/>
        </xdr:cNvSpPr>
      </xdr:nvSpPr>
      <xdr:spPr bwMode="auto">
        <a:xfrm>
          <a:off x="0" y="876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4</xdr:row>
      <xdr:rowOff>0</xdr:rowOff>
    </xdr:from>
    <xdr:to>
      <xdr:col>0</xdr:col>
      <xdr:colOff>0</xdr:colOff>
      <xdr:row>4</xdr:row>
      <xdr:rowOff>0</xdr:rowOff>
    </xdr:to>
    <xdr:sp macro="" textlink="">
      <xdr:nvSpPr>
        <xdr:cNvPr id="7469" name="AutoShape 4">
          <a:extLst>
            <a:ext uri="{FF2B5EF4-FFF2-40B4-BE49-F238E27FC236}">
              <a16:creationId xmlns:a16="http://schemas.microsoft.com/office/drawing/2014/main" id="{00000000-0008-0000-0100-00002D1D0000}"/>
            </a:ext>
          </a:extLst>
        </xdr:cNvPr>
        <xdr:cNvSpPr>
          <a:spLocks/>
        </xdr:cNvSpPr>
      </xdr:nvSpPr>
      <xdr:spPr bwMode="auto">
        <a:xfrm>
          <a:off x="0" y="8763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85725</xdr:colOff>
      <xdr:row>1</xdr:row>
      <xdr:rowOff>104775</xdr:rowOff>
    </xdr:from>
    <xdr:to>
      <xdr:col>19</xdr:col>
      <xdr:colOff>0</xdr:colOff>
      <xdr:row>3</xdr:row>
      <xdr:rowOff>19050</xdr:rowOff>
    </xdr:to>
    <xdr:sp macro="" textlink="">
      <xdr:nvSpPr>
        <xdr:cNvPr id="2064" name="Text Box 16">
          <a:extLst>
            <a:ext uri="{FF2B5EF4-FFF2-40B4-BE49-F238E27FC236}">
              <a16:creationId xmlns:a16="http://schemas.microsoft.com/office/drawing/2014/main" id="{00000000-0008-0000-0100-000010080000}"/>
            </a:ext>
          </a:extLst>
        </xdr:cNvPr>
        <xdr:cNvSpPr txBox="1">
          <a:spLocks noChangeArrowheads="1"/>
        </xdr:cNvSpPr>
      </xdr:nvSpPr>
      <xdr:spPr bwMode="auto">
        <a:xfrm>
          <a:off x="174625" y="244475"/>
          <a:ext cx="10721975" cy="422275"/>
        </a:xfrm>
        <a:prstGeom prst="rect">
          <a:avLst/>
        </a:prstGeom>
        <a:ln>
          <a:headEnd/>
          <a:tailEnd/>
        </a:ln>
      </xdr:spPr>
      <xdr:style>
        <a:lnRef idx="1">
          <a:schemeClr val="accent1"/>
        </a:lnRef>
        <a:fillRef idx="3">
          <a:schemeClr val="accent1"/>
        </a:fillRef>
        <a:effectRef idx="2">
          <a:schemeClr val="accent1"/>
        </a:effectRef>
        <a:fontRef idx="minor">
          <a:schemeClr val="lt1"/>
        </a:fontRef>
      </xdr:style>
      <xdr:txBody>
        <a:bodyPr vertOverflow="clip" wrap="square" lIns="45720" tIns="22860" rIns="45720" bIns="22860" anchor="ctr" upright="1"/>
        <a:lstStyle/>
        <a:p>
          <a:pPr algn="ctr" rtl="0">
            <a:defRPr sz="1000"/>
          </a:pPr>
          <a:r>
            <a:rPr lang="ja-JP" altLang="en-US" sz="1800" b="0" i="0" u="none" strike="noStrike" baseline="0">
              <a:solidFill>
                <a:srgbClr val="FFFFFF"/>
              </a:solidFill>
              <a:latin typeface="メイリオ"/>
              <a:ea typeface="メイリオ"/>
              <a:cs typeface="メイリオ"/>
            </a:rPr>
            <a:t>令和</a:t>
          </a:r>
          <a:r>
            <a:rPr lang="en-US" altLang="ja-JP" sz="1800" b="0" i="0" u="none" strike="noStrike" baseline="0">
              <a:solidFill>
                <a:srgbClr val="FFFFFF"/>
              </a:solidFill>
              <a:latin typeface="メイリオ"/>
              <a:ea typeface="メイリオ"/>
              <a:cs typeface="メイリオ"/>
            </a:rPr>
            <a:t>7</a:t>
          </a:r>
          <a:r>
            <a:rPr lang="ja-JP" altLang="en-US" sz="1800" b="0" i="0" u="none" strike="noStrike" baseline="0">
              <a:solidFill>
                <a:srgbClr val="FFFFFF"/>
              </a:solidFill>
              <a:latin typeface="メイリオ"/>
              <a:ea typeface="メイリオ"/>
              <a:cs typeface="メイリオ"/>
            </a:rPr>
            <a:t>年度　福岡市　国民健康保険料　計算式（詳細）</a:t>
          </a:r>
        </a:p>
      </xdr:txBody>
    </xdr:sp>
    <xdr:clientData/>
  </xdr:twoCellAnchor>
  <xdr:twoCellAnchor>
    <xdr:from>
      <xdr:col>9</xdr:col>
      <xdr:colOff>57150</xdr:colOff>
      <xdr:row>7</xdr:row>
      <xdr:rowOff>0</xdr:rowOff>
    </xdr:from>
    <xdr:to>
      <xdr:col>9</xdr:col>
      <xdr:colOff>317500</xdr:colOff>
      <xdr:row>12</xdr:row>
      <xdr:rowOff>279400</xdr:rowOff>
    </xdr:to>
    <xdr:sp macro="" textlink="">
      <xdr:nvSpPr>
        <xdr:cNvPr id="7473" name="AutoShape 138">
          <a:extLst>
            <a:ext uri="{FF2B5EF4-FFF2-40B4-BE49-F238E27FC236}">
              <a16:creationId xmlns:a16="http://schemas.microsoft.com/office/drawing/2014/main" id="{00000000-0008-0000-0100-0000311D0000}"/>
            </a:ext>
          </a:extLst>
        </xdr:cNvPr>
        <xdr:cNvSpPr>
          <a:spLocks/>
        </xdr:cNvSpPr>
      </xdr:nvSpPr>
      <xdr:spPr bwMode="auto">
        <a:xfrm>
          <a:off x="5988050" y="1803400"/>
          <a:ext cx="260350" cy="173990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3175</xdr:colOff>
      <xdr:row>3</xdr:row>
      <xdr:rowOff>250825</xdr:rowOff>
    </xdr:from>
    <xdr:to>
      <xdr:col>2</xdr:col>
      <xdr:colOff>279400</xdr:colOff>
      <xdr:row>4</xdr:row>
      <xdr:rowOff>168275</xdr:rowOff>
    </xdr:to>
    <xdr:grpSp>
      <xdr:nvGrpSpPr>
        <xdr:cNvPr id="7474" name="Group 11">
          <a:extLst>
            <a:ext uri="{FF2B5EF4-FFF2-40B4-BE49-F238E27FC236}">
              <a16:creationId xmlns:a16="http://schemas.microsoft.com/office/drawing/2014/main" id="{00000000-0008-0000-0100-0000321D0000}"/>
            </a:ext>
          </a:extLst>
        </xdr:cNvPr>
        <xdr:cNvGrpSpPr>
          <a:grpSpLocks/>
        </xdr:cNvGrpSpPr>
      </xdr:nvGrpSpPr>
      <xdr:grpSpPr bwMode="auto">
        <a:xfrm>
          <a:off x="180975" y="898525"/>
          <a:ext cx="276225" cy="234950"/>
          <a:chOff x="135" y="487"/>
          <a:chExt cx="29" cy="24"/>
        </a:xfrm>
      </xdr:grpSpPr>
      <xdr:sp macro="" textlink="">
        <xdr:nvSpPr>
          <xdr:cNvPr id="7499" name="Oval 9">
            <a:extLst>
              <a:ext uri="{FF2B5EF4-FFF2-40B4-BE49-F238E27FC236}">
                <a16:creationId xmlns:a16="http://schemas.microsoft.com/office/drawing/2014/main" id="{00000000-0008-0000-0100-00004B1D0000}"/>
              </a:ext>
            </a:extLst>
          </xdr:cNvPr>
          <xdr:cNvSpPr>
            <a:spLocks noChangeArrowheads="1"/>
          </xdr:cNvSpPr>
        </xdr:nvSpPr>
        <xdr:spPr bwMode="auto">
          <a:xfrm>
            <a:off x="135" y="487"/>
            <a:ext cx="24" cy="24"/>
          </a:xfrm>
          <a:prstGeom prst="ellipse">
            <a:avLst/>
          </a:prstGeom>
          <a:solidFill>
            <a:srgbClr val="000000"/>
          </a:solidFill>
          <a:ln w="9525">
            <a:solidFill>
              <a:srgbClr val="000000"/>
            </a:solidFill>
            <a:round/>
            <a:headEnd/>
            <a:tailEnd/>
          </a:ln>
        </xdr:spPr>
      </xdr:sp>
      <xdr:sp macro="" textlink="">
        <xdr:nvSpPr>
          <xdr:cNvPr id="30" name="Text Box 10">
            <a:extLst>
              <a:ext uri="{FF2B5EF4-FFF2-40B4-BE49-F238E27FC236}">
                <a16:creationId xmlns:a16="http://schemas.microsoft.com/office/drawing/2014/main" id="{00000000-0008-0000-0100-00001E000000}"/>
              </a:ext>
            </a:extLst>
          </xdr:cNvPr>
          <xdr:cNvSpPr txBox="1">
            <a:spLocks noChangeArrowheads="1"/>
          </xdr:cNvSpPr>
        </xdr:nvSpPr>
        <xdr:spPr bwMode="auto">
          <a:xfrm>
            <a:off x="135" y="487"/>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Ｐゴシック"/>
                <a:ea typeface="ＭＳ Ｐゴシック"/>
              </a:rPr>
              <a:t>1</a:t>
            </a:r>
          </a:p>
        </xdr:txBody>
      </xdr:sp>
    </xdr:grpSp>
    <xdr:clientData/>
  </xdr:twoCellAnchor>
  <xdr:oneCellAnchor>
    <xdr:from>
      <xdr:col>2</xdr:col>
      <xdr:colOff>254000</xdr:colOff>
      <xdr:row>3</xdr:row>
      <xdr:rowOff>161925</xdr:rowOff>
    </xdr:from>
    <xdr:ext cx="723275" cy="388696"/>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431800" y="809625"/>
          <a:ext cx="723275"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400" b="1">
              <a:latin typeface="Meiryo UI" panose="020B0604030504040204" pitchFamily="50" charset="-128"/>
              <a:ea typeface="Meiryo UI" panose="020B0604030504040204" pitchFamily="50" charset="-128"/>
            </a:rPr>
            <a:t>基礎分</a:t>
          </a:r>
          <a:endParaRPr kumimoji="1" lang="en-US" altLang="ja-JP" sz="1400" b="1">
            <a:latin typeface="Meiryo UI" panose="020B0604030504040204" pitchFamily="50" charset="-128"/>
            <a:ea typeface="Meiryo UI" panose="020B0604030504040204" pitchFamily="50" charset="-128"/>
          </a:endParaRPr>
        </a:p>
      </xdr:txBody>
    </xdr:sp>
    <xdr:clientData/>
  </xdr:oneCellAnchor>
  <xdr:twoCellAnchor>
    <xdr:from>
      <xdr:col>14</xdr:col>
      <xdr:colOff>19050</xdr:colOff>
      <xdr:row>15</xdr:row>
      <xdr:rowOff>28575</xdr:rowOff>
    </xdr:from>
    <xdr:to>
      <xdr:col>14</xdr:col>
      <xdr:colOff>165100</xdr:colOff>
      <xdr:row>17</xdr:row>
      <xdr:rowOff>266700</xdr:rowOff>
    </xdr:to>
    <xdr:sp macro="" textlink="">
      <xdr:nvSpPr>
        <xdr:cNvPr id="7476" name="AutoShape 138">
          <a:extLst>
            <a:ext uri="{FF2B5EF4-FFF2-40B4-BE49-F238E27FC236}">
              <a16:creationId xmlns:a16="http://schemas.microsoft.com/office/drawing/2014/main" id="{00000000-0008-0000-0100-0000341D0000}"/>
            </a:ext>
          </a:extLst>
        </xdr:cNvPr>
        <xdr:cNvSpPr>
          <a:spLocks/>
        </xdr:cNvSpPr>
      </xdr:nvSpPr>
      <xdr:spPr bwMode="auto">
        <a:xfrm>
          <a:off x="9010650" y="3711575"/>
          <a:ext cx="146050" cy="8223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20</xdr:row>
      <xdr:rowOff>38100</xdr:rowOff>
    </xdr:from>
    <xdr:to>
      <xdr:col>14</xdr:col>
      <xdr:colOff>171450</xdr:colOff>
      <xdr:row>21</xdr:row>
      <xdr:rowOff>257175</xdr:rowOff>
    </xdr:to>
    <xdr:sp macro="" textlink="">
      <xdr:nvSpPr>
        <xdr:cNvPr id="7477" name="AutoShape 138">
          <a:extLst>
            <a:ext uri="{FF2B5EF4-FFF2-40B4-BE49-F238E27FC236}">
              <a16:creationId xmlns:a16="http://schemas.microsoft.com/office/drawing/2014/main" id="{00000000-0008-0000-0100-0000351D0000}"/>
            </a:ext>
          </a:extLst>
        </xdr:cNvPr>
        <xdr:cNvSpPr>
          <a:spLocks/>
        </xdr:cNvSpPr>
      </xdr:nvSpPr>
      <xdr:spPr bwMode="auto">
        <a:xfrm>
          <a:off x="8534400" y="4210050"/>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266700</xdr:colOff>
      <xdr:row>25</xdr:row>
      <xdr:rowOff>142875</xdr:rowOff>
    </xdr:from>
    <xdr:ext cx="723275" cy="388696"/>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444500" y="6289675"/>
          <a:ext cx="723275"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400" b="1">
              <a:latin typeface="Meiryo UI" panose="020B0604030504040204" pitchFamily="50" charset="-128"/>
              <a:ea typeface="Meiryo UI" panose="020B0604030504040204" pitchFamily="50" charset="-128"/>
            </a:rPr>
            <a:t>支援分</a:t>
          </a:r>
        </a:p>
      </xdr:txBody>
    </xdr:sp>
    <xdr:clientData/>
  </xdr:oneCellAnchor>
  <xdr:twoCellAnchor>
    <xdr:from>
      <xdr:col>2</xdr:col>
      <xdr:colOff>19050</xdr:colOff>
      <xdr:row>25</xdr:row>
      <xdr:rowOff>238125</xdr:rowOff>
    </xdr:from>
    <xdr:to>
      <xdr:col>2</xdr:col>
      <xdr:colOff>295275</xdr:colOff>
      <xdr:row>26</xdr:row>
      <xdr:rowOff>152400</xdr:rowOff>
    </xdr:to>
    <xdr:grpSp>
      <xdr:nvGrpSpPr>
        <xdr:cNvPr id="7479" name="Group 18">
          <a:extLst>
            <a:ext uri="{FF2B5EF4-FFF2-40B4-BE49-F238E27FC236}">
              <a16:creationId xmlns:a16="http://schemas.microsoft.com/office/drawing/2014/main" id="{00000000-0008-0000-0100-0000371D0000}"/>
            </a:ext>
          </a:extLst>
        </xdr:cNvPr>
        <xdr:cNvGrpSpPr>
          <a:grpSpLocks/>
        </xdr:cNvGrpSpPr>
      </xdr:nvGrpSpPr>
      <xdr:grpSpPr bwMode="auto">
        <a:xfrm>
          <a:off x="196850" y="6410325"/>
          <a:ext cx="276225" cy="231775"/>
          <a:chOff x="248" y="493"/>
          <a:chExt cx="29" cy="24"/>
        </a:xfrm>
      </xdr:grpSpPr>
      <xdr:sp macro="" textlink="">
        <xdr:nvSpPr>
          <xdr:cNvPr id="7497" name="Oval 13">
            <a:extLst>
              <a:ext uri="{FF2B5EF4-FFF2-40B4-BE49-F238E27FC236}">
                <a16:creationId xmlns:a16="http://schemas.microsoft.com/office/drawing/2014/main" id="{00000000-0008-0000-0100-0000491D0000}"/>
              </a:ext>
            </a:extLst>
          </xdr:cNvPr>
          <xdr:cNvSpPr>
            <a:spLocks noChangeArrowheads="1"/>
          </xdr:cNvSpPr>
        </xdr:nvSpPr>
        <xdr:spPr bwMode="auto">
          <a:xfrm>
            <a:off x="249" y="493"/>
            <a:ext cx="24" cy="24"/>
          </a:xfrm>
          <a:prstGeom prst="ellipse">
            <a:avLst/>
          </a:prstGeom>
          <a:solidFill>
            <a:srgbClr val="000000"/>
          </a:solidFill>
          <a:ln w="9525">
            <a:solidFill>
              <a:srgbClr val="000000"/>
            </a:solidFill>
            <a:round/>
            <a:headEnd/>
            <a:tailEnd/>
          </a:ln>
        </xdr:spPr>
      </xdr:sp>
      <xdr:sp macro="" textlink="">
        <xdr:nvSpPr>
          <xdr:cNvPr id="43" name="Text Box 14">
            <a:extLst>
              <a:ext uri="{FF2B5EF4-FFF2-40B4-BE49-F238E27FC236}">
                <a16:creationId xmlns:a16="http://schemas.microsoft.com/office/drawing/2014/main" id="{00000000-0008-0000-0100-00002B000000}"/>
              </a:ext>
            </a:extLst>
          </xdr:cNvPr>
          <xdr:cNvSpPr txBox="1">
            <a:spLocks noChangeArrowheads="1"/>
          </xdr:cNvSpPr>
        </xdr:nvSpPr>
        <xdr:spPr bwMode="auto">
          <a:xfrm>
            <a:off x="248" y="493"/>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Ｐゴシック"/>
                <a:ea typeface="ＭＳ Ｐゴシック"/>
              </a:rPr>
              <a:t>2</a:t>
            </a:r>
          </a:p>
        </xdr:txBody>
      </xdr:sp>
    </xdr:grpSp>
    <xdr:clientData/>
  </xdr:twoCellAnchor>
  <xdr:twoCellAnchor>
    <xdr:from>
      <xdr:col>9</xdr:col>
      <xdr:colOff>101600</xdr:colOff>
      <xdr:row>29</xdr:row>
      <xdr:rowOff>25400</xdr:rowOff>
    </xdr:from>
    <xdr:to>
      <xdr:col>9</xdr:col>
      <xdr:colOff>266700</xdr:colOff>
      <xdr:row>35</xdr:row>
      <xdr:rowOff>0</xdr:rowOff>
    </xdr:to>
    <xdr:sp macro="" textlink="">
      <xdr:nvSpPr>
        <xdr:cNvPr id="7480" name="AutoShape 138">
          <a:extLst>
            <a:ext uri="{FF2B5EF4-FFF2-40B4-BE49-F238E27FC236}">
              <a16:creationId xmlns:a16="http://schemas.microsoft.com/office/drawing/2014/main" id="{00000000-0008-0000-0100-0000381D0000}"/>
            </a:ext>
          </a:extLst>
        </xdr:cNvPr>
        <xdr:cNvSpPr>
          <a:spLocks/>
        </xdr:cNvSpPr>
      </xdr:nvSpPr>
      <xdr:spPr bwMode="auto">
        <a:xfrm>
          <a:off x="6032500" y="7353300"/>
          <a:ext cx="165100" cy="1727200"/>
        </a:xfrm>
        <a:prstGeom prst="rightBrace">
          <a:avLst>
            <a:gd name="adj1" fmla="val 46213"/>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xdr:colOff>
      <xdr:row>37</xdr:row>
      <xdr:rowOff>38100</xdr:rowOff>
    </xdr:from>
    <xdr:to>
      <xdr:col>14</xdr:col>
      <xdr:colOff>177800</xdr:colOff>
      <xdr:row>39</xdr:row>
      <xdr:rowOff>254000</xdr:rowOff>
    </xdr:to>
    <xdr:sp macro="" textlink="">
      <xdr:nvSpPr>
        <xdr:cNvPr id="7481" name="AutoShape 138">
          <a:extLst>
            <a:ext uri="{FF2B5EF4-FFF2-40B4-BE49-F238E27FC236}">
              <a16:creationId xmlns:a16="http://schemas.microsoft.com/office/drawing/2014/main" id="{00000000-0008-0000-0100-0000391D0000}"/>
            </a:ext>
          </a:extLst>
        </xdr:cNvPr>
        <xdr:cNvSpPr>
          <a:spLocks/>
        </xdr:cNvSpPr>
      </xdr:nvSpPr>
      <xdr:spPr bwMode="auto">
        <a:xfrm>
          <a:off x="9020175" y="9537700"/>
          <a:ext cx="149225" cy="800100"/>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42</xdr:row>
      <xdr:rowOff>38100</xdr:rowOff>
    </xdr:from>
    <xdr:to>
      <xdr:col>14</xdr:col>
      <xdr:colOff>171450</xdr:colOff>
      <xdr:row>43</xdr:row>
      <xdr:rowOff>257175</xdr:rowOff>
    </xdr:to>
    <xdr:sp macro="" textlink="">
      <xdr:nvSpPr>
        <xdr:cNvPr id="7482" name="AutoShape 138">
          <a:extLst>
            <a:ext uri="{FF2B5EF4-FFF2-40B4-BE49-F238E27FC236}">
              <a16:creationId xmlns:a16="http://schemas.microsoft.com/office/drawing/2014/main" id="{00000000-0008-0000-0100-00003A1D0000}"/>
            </a:ext>
          </a:extLst>
        </xdr:cNvPr>
        <xdr:cNvSpPr>
          <a:spLocks/>
        </xdr:cNvSpPr>
      </xdr:nvSpPr>
      <xdr:spPr bwMode="auto">
        <a:xfrm>
          <a:off x="8534400" y="8848725"/>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295275</xdr:colOff>
      <xdr:row>47</xdr:row>
      <xdr:rowOff>117475</xdr:rowOff>
    </xdr:from>
    <xdr:ext cx="723275" cy="388696"/>
    <xdr:sp macro="" textlink="">
      <xdr:nvSpPr>
        <xdr:cNvPr id="53" name="テキスト ボックス 52">
          <a:extLst>
            <a:ext uri="{FF2B5EF4-FFF2-40B4-BE49-F238E27FC236}">
              <a16:creationId xmlns:a16="http://schemas.microsoft.com/office/drawing/2014/main" id="{00000000-0008-0000-0100-000035000000}"/>
            </a:ext>
          </a:extLst>
        </xdr:cNvPr>
        <xdr:cNvSpPr txBox="1"/>
      </xdr:nvSpPr>
      <xdr:spPr>
        <a:xfrm>
          <a:off x="473075" y="11560175"/>
          <a:ext cx="723275" cy="3886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ja-JP" altLang="en-US" sz="1400" b="1">
              <a:latin typeface="Meiryo UI" panose="020B0604030504040204" pitchFamily="50" charset="-128"/>
              <a:ea typeface="Meiryo UI" panose="020B0604030504040204" pitchFamily="50" charset="-128"/>
            </a:rPr>
            <a:t>介護分</a:t>
          </a:r>
        </a:p>
      </xdr:txBody>
    </xdr:sp>
    <xdr:clientData/>
  </xdr:oneCellAnchor>
  <xdr:twoCellAnchor>
    <xdr:from>
      <xdr:col>2</xdr:col>
      <xdr:colOff>9525</xdr:colOff>
      <xdr:row>47</xdr:row>
      <xdr:rowOff>225425</xdr:rowOff>
    </xdr:from>
    <xdr:to>
      <xdr:col>2</xdr:col>
      <xdr:colOff>285750</xdr:colOff>
      <xdr:row>48</xdr:row>
      <xdr:rowOff>120650</xdr:rowOff>
    </xdr:to>
    <xdr:grpSp>
      <xdr:nvGrpSpPr>
        <xdr:cNvPr id="7484" name="Group 18">
          <a:extLst>
            <a:ext uri="{FF2B5EF4-FFF2-40B4-BE49-F238E27FC236}">
              <a16:creationId xmlns:a16="http://schemas.microsoft.com/office/drawing/2014/main" id="{00000000-0008-0000-0100-00003C1D0000}"/>
            </a:ext>
          </a:extLst>
        </xdr:cNvPr>
        <xdr:cNvGrpSpPr>
          <a:grpSpLocks/>
        </xdr:cNvGrpSpPr>
      </xdr:nvGrpSpPr>
      <xdr:grpSpPr bwMode="auto">
        <a:xfrm>
          <a:off x="187325" y="11922125"/>
          <a:ext cx="276225" cy="212725"/>
          <a:chOff x="248" y="493"/>
          <a:chExt cx="29" cy="24"/>
        </a:xfrm>
      </xdr:grpSpPr>
      <xdr:sp macro="" textlink="">
        <xdr:nvSpPr>
          <xdr:cNvPr id="7495" name="Oval 13">
            <a:extLst>
              <a:ext uri="{FF2B5EF4-FFF2-40B4-BE49-F238E27FC236}">
                <a16:creationId xmlns:a16="http://schemas.microsoft.com/office/drawing/2014/main" id="{00000000-0008-0000-0100-0000471D0000}"/>
              </a:ext>
            </a:extLst>
          </xdr:cNvPr>
          <xdr:cNvSpPr>
            <a:spLocks noChangeArrowheads="1"/>
          </xdr:cNvSpPr>
        </xdr:nvSpPr>
        <xdr:spPr bwMode="auto">
          <a:xfrm>
            <a:off x="249" y="493"/>
            <a:ext cx="24" cy="24"/>
          </a:xfrm>
          <a:prstGeom prst="ellipse">
            <a:avLst/>
          </a:prstGeom>
          <a:solidFill>
            <a:srgbClr val="000000"/>
          </a:solidFill>
          <a:ln w="9525">
            <a:solidFill>
              <a:srgbClr val="000000"/>
            </a:solidFill>
            <a:round/>
            <a:headEnd/>
            <a:tailEnd/>
          </a:ln>
        </xdr:spPr>
      </xdr:sp>
      <xdr:sp macro="" textlink="">
        <xdr:nvSpPr>
          <xdr:cNvPr id="56" name="Text Box 14">
            <a:extLst>
              <a:ext uri="{FF2B5EF4-FFF2-40B4-BE49-F238E27FC236}">
                <a16:creationId xmlns:a16="http://schemas.microsoft.com/office/drawing/2014/main" id="{00000000-0008-0000-0100-000038000000}"/>
              </a:ext>
            </a:extLst>
          </xdr:cNvPr>
          <xdr:cNvSpPr txBox="1">
            <a:spLocks noChangeArrowheads="1"/>
          </xdr:cNvSpPr>
        </xdr:nvSpPr>
        <xdr:spPr bwMode="auto">
          <a:xfrm>
            <a:off x="248" y="493"/>
            <a:ext cx="29" cy="23"/>
          </a:xfrm>
          <a:prstGeom prst="rect">
            <a:avLst/>
          </a:prstGeom>
          <a:noFill/>
          <a:ln w="9525">
            <a:noFill/>
            <a:miter lim="800000"/>
            <a:headEnd/>
            <a:tailEnd/>
          </a:ln>
        </xdr:spPr>
        <xdr:txBody>
          <a:bodyPr vertOverflow="clip" wrap="square" lIns="36576" tIns="18288" rIns="36576" bIns="18288" anchor="ctr" upright="1"/>
          <a:lstStyle/>
          <a:p>
            <a:pPr algn="ctr" rtl="0">
              <a:defRPr sz="1000"/>
            </a:pPr>
            <a:r>
              <a:rPr lang="en-US" altLang="ja-JP" sz="1100" b="1" i="0" u="none" strike="noStrike" baseline="0">
                <a:solidFill>
                  <a:srgbClr val="FFFFFF"/>
                </a:solidFill>
                <a:latin typeface="ＭＳ Ｐゴシック"/>
                <a:ea typeface="ＭＳ Ｐゴシック"/>
              </a:rPr>
              <a:t>3</a:t>
            </a:r>
          </a:p>
        </xdr:txBody>
      </xdr:sp>
    </xdr:grpSp>
    <xdr:clientData/>
  </xdr:twoCellAnchor>
  <xdr:twoCellAnchor>
    <xdr:from>
      <xdr:col>9</xdr:col>
      <xdr:colOff>63500</xdr:colOff>
      <xdr:row>51</xdr:row>
      <xdr:rowOff>0</xdr:rowOff>
    </xdr:from>
    <xdr:to>
      <xdr:col>9</xdr:col>
      <xdr:colOff>254000</xdr:colOff>
      <xdr:row>56</xdr:row>
      <xdr:rowOff>254000</xdr:rowOff>
    </xdr:to>
    <xdr:sp macro="" textlink="">
      <xdr:nvSpPr>
        <xdr:cNvPr id="7485" name="AutoShape 138">
          <a:extLst>
            <a:ext uri="{FF2B5EF4-FFF2-40B4-BE49-F238E27FC236}">
              <a16:creationId xmlns:a16="http://schemas.microsoft.com/office/drawing/2014/main" id="{00000000-0008-0000-0100-00003D1D0000}"/>
            </a:ext>
          </a:extLst>
        </xdr:cNvPr>
        <xdr:cNvSpPr>
          <a:spLocks/>
        </xdr:cNvSpPr>
      </xdr:nvSpPr>
      <xdr:spPr bwMode="auto">
        <a:xfrm>
          <a:off x="5994400" y="12852400"/>
          <a:ext cx="190500" cy="171450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19050</xdr:colOff>
      <xdr:row>59</xdr:row>
      <xdr:rowOff>38100</xdr:rowOff>
    </xdr:from>
    <xdr:to>
      <xdr:col>14</xdr:col>
      <xdr:colOff>171450</xdr:colOff>
      <xdr:row>60</xdr:row>
      <xdr:rowOff>257175</xdr:rowOff>
    </xdr:to>
    <xdr:sp macro="" textlink="">
      <xdr:nvSpPr>
        <xdr:cNvPr id="7486" name="AutoShape 138">
          <a:extLst>
            <a:ext uri="{FF2B5EF4-FFF2-40B4-BE49-F238E27FC236}">
              <a16:creationId xmlns:a16="http://schemas.microsoft.com/office/drawing/2014/main" id="{00000000-0008-0000-0100-00003E1D0000}"/>
            </a:ext>
          </a:extLst>
        </xdr:cNvPr>
        <xdr:cNvSpPr>
          <a:spLocks/>
        </xdr:cNvSpPr>
      </xdr:nvSpPr>
      <xdr:spPr bwMode="auto">
        <a:xfrm>
          <a:off x="8534400" y="13144500"/>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63</xdr:row>
      <xdr:rowOff>47625</xdr:rowOff>
    </xdr:from>
    <xdr:to>
      <xdr:col>14</xdr:col>
      <xdr:colOff>161925</xdr:colOff>
      <xdr:row>64</xdr:row>
      <xdr:rowOff>266700</xdr:rowOff>
    </xdr:to>
    <xdr:sp macro="" textlink="">
      <xdr:nvSpPr>
        <xdr:cNvPr id="7487" name="AutoShape 138">
          <a:extLst>
            <a:ext uri="{FF2B5EF4-FFF2-40B4-BE49-F238E27FC236}">
              <a16:creationId xmlns:a16="http://schemas.microsoft.com/office/drawing/2014/main" id="{00000000-0008-0000-0100-00003F1D0000}"/>
            </a:ext>
          </a:extLst>
        </xdr:cNvPr>
        <xdr:cNvSpPr>
          <a:spLocks/>
        </xdr:cNvSpPr>
      </xdr:nvSpPr>
      <xdr:spPr bwMode="auto">
        <a:xfrm>
          <a:off x="8524875" y="13725525"/>
          <a:ext cx="152400" cy="504825"/>
        </a:xfrm>
        <a:prstGeom prst="rightBrace">
          <a:avLst>
            <a:gd name="adj1" fmla="val 47402"/>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28574</xdr:colOff>
      <xdr:row>47</xdr:row>
      <xdr:rowOff>184150</xdr:rowOff>
    </xdr:from>
    <xdr:to>
      <xdr:col>6</xdr:col>
      <xdr:colOff>952499</xdr:colOff>
      <xdr:row>48</xdr:row>
      <xdr:rowOff>120650</xdr:rowOff>
    </xdr:to>
    <xdr:sp macro="" textlink="">
      <xdr:nvSpPr>
        <xdr:cNvPr id="5764" name="テキスト ボックス 52">
          <a:extLst>
            <a:ext uri="{FF2B5EF4-FFF2-40B4-BE49-F238E27FC236}">
              <a16:creationId xmlns:a16="http://schemas.microsoft.com/office/drawing/2014/main" id="{00000000-0008-0000-0100-000084160000}"/>
            </a:ext>
          </a:extLst>
        </xdr:cNvPr>
        <xdr:cNvSpPr txBox="1">
          <a:spLocks noChangeArrowheads="1"/>
        </xdr:cNvSpPr>
      </xdr:nvSpPr>
      <xdr:spPr bwMode="auto">
        <a:xfrm>
          <a:off x="1057274" y="11626850"/>
          <a:ext cx="3273425" cy="2540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strike="noStrike">
              <a:solidFill>
                <a:srgbClr val="000000"/>
              </a:solidFill>
              <a:latin typeface="Meiryo UI" panose="020B0604030504040204" pitchFamily="50" charset="-128"/>
              <a:ea typeface="Meiryo UI" panose="020B0604030504040204" pitchFamily="50" charset="-128"/>
            </a:rPr>
            <a:t>（</a:t>
          </a:r>
          <a:r>
            <a:rPr lang="en-US" altLang="ja-JP" sz="1200" b="0" i="0" strike="noStrike">
              <a:solidFill>
                <a:srgbClr val="000000"/>
              </a:solidFill>
              <a:latin typeface="Meiryo UI" panose="020B0604030504040204" pitchFamily="50" charset="-128"/>
              <a:ea typeface="Meiryo UI" panose="020B0604030504040204" pitchFamily="50" charset="-128"/>
            </a:rPr>
            <a:t>40</a:t>
          </a:r>
          <a:r>
            <a:rPr lang="ja-JP" altLang="en-US" sz="1200" b="0" i="0" strike="noStrike">
              <a:solidFill>
                <a:srgbClr val="000000"/>
              </a:solidFill>
              <a:latin typeface="Meiryo UI" panose="020B0604030504040204" pitchFamily="50" charset="-128"/>
              <a:ea typeface="Meiryo UI" panose="020B0604030504040204" pitchFamily="50" charset="-128"/>
            </a:rPr>
            <a:t>歳から</a:t>
          </a:r>
          <a:r>
            <a:rPr lang="en-US" altLang="ja-JP" sz="1200" b="0" i="0" strike="noStrike">
              <a:solidFill>
                <a:srgbClr val="000000"/>
              </a:solidFill>
              <a:latin typeface="Meiryo UI" panose="020B0604030504040204" pitchFamily="50" charset="-128"/>
              <a:ea typeface="Meiryo UI" panose="020B0604030504040204" pitchFamily="50" charset="-128"/>
            </a:rPr>
            <a:t>64</a:t>
          </a:r>
          <a:r>
            <a:rPr lang="ja-JP" altLang="en-US" sz="1200" b="0" i="0" strike="noStrike">
              <a:solidFill>
                <a:srgbClr val="000000"/>
              </a:solidFill>
              <a:latin typeface="Meiryo UI" panose="020B0604030504040204" pitchFamily="50" charset="-128"/>
              <a:ea typeface="Meiryo UI" panose="020B0604030504040204" pitchFamily="50" charset="-128"/>
            </a:rPr>
            <a:t>歳までの被保険者が対象）</a:t>
          </a:r>
          <a:endParaRPr lang="en-US" altLang="ja-JP" sz="1200" b="0" i="0" strike="noStrike">
            <a:solidFill>
              <a:srgbClr val="000000"/>
            </a:solidFill>
            <a:latin typeface="Meiryo UI" panose="020B0604030504040204" pitchFamily="50" charset="-128"/>
            <a:ea typeface="Meiryo UI" panose="020B0604030504040204" pitchFamily="50" charset="-128"/>
          </a:endParaRPr>
        </a:p>
      </xdr:txBody>
    </xdr:sp>
    <xdr:clientData/>
  </xdr:twoCellAnchor>
  <xdr:twoCellAnchor>
    <xdr:from>
      <xdr:col>11</xdr:col>
      <xdr:colOff>38100</xdr:colOff>
      <xdr:row>9</xdr:row>
      <xdr:rowOff>180975</xdr:rowOff>
    </xdr:from>
    <xdr:to>
      <xdr:col>11</xdr:col>
      <xdr:colOff>238125</xdr:colOff>
      <xdr:row>10</xdr:row>
      <xdr:rowOff>114300</xdr:rowOff>
    </xdr:to>
    <xdr:sp macro="" textlink="">
      <xdr:nvSpPr>
        <xdr:cNvPr id="2950" name="Rectangle 902">
          <a:extLst>
            <a:ext uri="{FF2B5EF4-FFF2-40B4-BE49-F238E27FC236}">
              <a16:creationId xmlns:a16="http://schemas.microsoft.com/office/drawing/2014/main" id="{00000000-0008-0000-0100-0000860B0000}"/>
            </a:ext>
          </a:extLst>
        </xdr:cNvPr>
        <xdr:cNvSpPr>
          <a:spLocks noChangeArrowheads="1"/>
        </xdr:cNvSpPr>
      </xdr:nvSpPr>
      <xdr:spPr bwMode="auto">
        <a:xfrm>
          <a:off x="7219950" y="2447925"/>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13</xdr:col>
      <xdr:colOff>152400</xdr:colOff>
      <xdr:row>6</xdr:row>
      <xdr:rowOff>282574</xdr:rowOff>
    </xdr:from>
    <xdr:to>
      <xdr:col>15</xdr:col>
      <xdr:colOff>12700</xdr:colOff>
      <xdr:row>13</xdr:row>
      <xdr:rowOff>0</xdr:rowOff>
    </xdr:to>
    <xdr:sp macro="" textlink="">
      <xdr:nvSpPr>
        <xdr:cNvPr id="7490" name="AutoShape 138">
          <a:extLst>
            <a:ext uri="{FF2B5EF4-FFF2-40B4-BE49-F238E27FC236}">
              <a16:creationId xmlns:a16="http://schemas.microsoft.com/office/drawing/2014/main" id="{00000000-0008-0000-0100-0000421D0000}"/>
            </a:ext>
          </a:extLst>
        </xdr:cNvPr>
        <xdr:cNvSpPr>
          <a:spLocks/>
        </xdr:cNvSpPr>
      </xdr:nvSpPr>
      <xdr:spPr bwMode="auto">
        <a:xfrm>
          <a:off x="8940800" y="1793874"/>
          <a:ext cx="266700" cy="1762126"/>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29</xdr:row>
      <xdr:rowOff>0</xdr:rowOff>
    </xdr:from>
    <xdr:to>
      <xdr:col>15</xdr:col>
      <xdr:colOff>25400</xdr:colOff>
      <xdr:row>34</xdr:row>
      <xdr:rowOff>266700</xdr:rowOff>
    </xdr:to>
    <xdr:sp macro="" textlink="">
      <xdr:nvSpPr>
        <xdr:cNvPr id="7491" name="AutoShape 138">
          <a:extLst>
            <a:ext uri="{FF2B5EF4-FFF2-40B4-BE49-F238E27FC236}">
              <a16:creationId xmlns:a16="http://schemas.microsoft.com/office/drawing/2014/main" id="{00000000-0008-0000-0100-0000431D0000}"/>
            </a:ext>
          </a:extLst>
        </xdr:cNvPr>
        <xdr:cNvSpPr>
          <a:spLocks/>
        </xdr:cNvSpPr>
      </xdr:nvSpPr>
      <xdr:spPr bwMode="auto">
        <a:xfrm>
          <a:off x="8991600" y="7327900"/>
          <a:ext cx="228600" cy="1727200"/>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38100</xdr:colOff>
      <xdr:row>31</xdr:row>
      <xdr:rowOff>190500</xdr:rowOff>
    </xdr:from>
    <xdr:to>
      <xdr:col>11</xdr:col>
      <xdr:colOff>238125</xdr:colOff>
      <xdr:row>32</xdr:row>
      <xdr:rowOff>123825</xdr:rowOff>
    </xdr:to>
    <xdr:sp macro="" textlink="">
      <xdr:nvSpPr>
        <xdr:cNvPr id="2955" name="Rectangle 907">
          <a:extLst>
            <a:ext uri="{FF2B5EF4-FFF2-40B4-BE49-F238E27FC236}">
              <a16:creationId xmlns:a16="http://schemas.microsoft.com/office/drawing/2014/main" id="{00000000-0008-0000-0100-00008B0B0000}"/>
            </a:ext>
          </a:extLst>
        </xdr:cNvPr>
        <xdr:cNvSpPr>
          <a:spLocks noChangeArrowheads="1"/>
        </xdr:cNvSpPr>
      </xdr:nvSpPr>
      <xdr:spPr bwMode="auto">
        <a:xfrm>
          <a:off x="7219950" y="7058025"/>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twoCellAnchor>
    <xdr:from>
      <xdr:col>13</xdr:col>
      <xdr:colOff>161925</xdr:colOff>
      <xdr:row>51</xdr:row>
      <xdr:rowOff>12700</xdr:rowOff>
    </xdr:from>
    <xdr:to>
      <xdr:col>15</xdr:col>
      <xdr:colOff>12700</xdr:colOff>
      <xdr:row>57</xdr:row>
      <xdr:rowOff>1</xdr:rowOff>
    </xdr:to>
    <xdr:sp macro="" textlink="">
      <xdr:nvSpPr>
        <xdr:cNvPr id="7493" name="AutoShape 138">
          <a:extLst>
            <a:ext uri="{FF2B5EF4-FFF2-40B4-BE49-F238E27FC236}">
              <a16:creationId xmlns:a16="http://schemas.microsoft.com/office/drawing/2014/main" id="{00000000-0008-0000-0100-0000451D0000}"/>
            </a:ext>
          </a:extLst>
        </xdr:cNvPr>
        <xdr:cNvSpPr>
          <a:spLocks/>
        </xdr:cNvSpPr>
      </xdr:nvSpPr>
      <xdr:spPr bwMode="auto">
        <a:xfrm>
          <a:off x="8950325" y="12865100"/>
          <a:ext cx="257175" cy="1739901"/>
        </a:xfrm>
        <a:prstGeom prst="rightBrace">
          <a:avLst>
            <a:gd name="adj1" fmla="val 47315"/>
            <a:gd name="adj2" fmla="val 50000"/>
          </a:avLst>
        </a:prstGeom>
        <a:noFill/>
        <a:ln w="9525">
          <a:solidFill>
            <a:srgbClr val="969696"/>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47625</xdr:colOff>
      <xdr:row>53</xdr:row>
      <xdr:rowOff>190500</xdr:rowOff>
    </xdr:from>
    <xdr:to>
      <xdr:col>11</xdr:col>
      <xdr:colOff>247650</xdr:colOff>
      <xdr:row>54</xdr:row>
      <xdr:rowOff>123825</xdr:rowOff>
    </xdr:to>
    <xdr:sp macro="" textlink="">
      <xdr:nvSpPr>
        <xdr:cNvPr id="2958" name="Rectangle 910">
          <a:extLst>
            <a:ext uri="{FF2B5EF4-FFF2-40B4-BE49-F238E27FC236}">
              <a16:creationId xmlns:a16="http://schemas.microsoft.com/office/drawing/2014/main" id="{00000000-0008-0000-0100-00008E0B0000}"/>
            </a:ext>
          </a:extLst>
        </xdr:cNvPr>
        <xdr:cNvSpPr>
          <a:spLocks noChangeArrowheads="1"/>
        </xdr:cNvSpPr>
      </xdr:nvSpPr>
      <xdr:spPr bwMode="auto">
        <a:xfrm>
          <a:off x="7229475" y="11658600"/>
          <a:ext cx="200025" cy="2190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100" b="0" i="0" u="none" strike="noStrike" baseline="0">
              <a:solidFill>
                <a:srgbClr val="000000"/>
              </a:solidFill>
              <a:latin typeface="ＭＳ Ｐゴシック"/>
              <a:ea typeface="ＭＳ Ｐゴシック"/>
            </a:rPr>
            <a:t>×</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66FF"/>
    <pageSetUpPr fitToPage="1"/>
  </sheetPr>
  <dimension ref="B2:AQ44"/>
  <sheetViews>
    <sheetView showGridLines="0" tabSelected="1" view="pageBreakPreview" zoomScale="78" zoomScaleNormal="100" zoomScaleSheetLayoutView="78" workbookViewId="0">
      <selection activeCell="R10" sqref="R10:V10"/>
    </sheetView>
  </sheetViews>
  <sheetFormatPr defaultColWidth="2.625" defaultRowHeight="20.100000000000001" customHeight="1"/>
  <cols>
    <col min="1" max="1" width="2.5" style="1" customWidth="1"/>
    <col min="2" max="8" width="2.625" style="1" customWidth="1"/>
    <col min="9" max="37" width="2.75" style="1" customWidth="1"/>
    <col min="38" max="44" width="2.625" style="1"/>
    <col min="45" max="45" width="5.125" style="1" bestFit="1" customWidth="1"/>
    <col min="46" max="46" width="2.625" style="1"/>
    <col min="47" max="47" width="5.125" style="1" bestFit="1" customWidth="1"/>
    <col min="48" max="48" width="2.625" style="1"/>
    <col min="49" max="49" width="2.875" style="1" bestFit="1" customWidth="1"/>
    <col min="50" max="16384" width="2.625" style="1"/>
  </cols>
  <sheetData>
    <row r="2" spans="2:42" ht="20.100000000000001" customHeight="1">
      <c r="AP2" s="2"/>
    </row>
    <row r="3" spans="2:42" ht="20.100000000000001" customHeight="1">
      <c r="AP3" s="2"/>
    </row>
    <row r="4" spans="2:42" s="18" customFormat="1" ht="60" customHeight="1"/>
    <row r="5" spans="2:42" ht="30" customHeight="1">
      <c r="AP5" s="2"/>
    </row>
    <row r="6" spans="2:42" ht="30" customHeight="1"/>
    <row r="7" spans="2:42" ht="50.1" customHeight="1"/>
    <row r="8" spans="2:42" ht="60" customHeight="1"/>
    <row r="9" spans="2:42" ht="27" customHeight="1" thickBot="1">
      <c r="I9" s="401" t="s">
        <v>101</v>
      </c>
      <c r="J9" s="401"/>
      <c r="K9" s="401"/>
      <c r="L9" s="401"/>
      <c r="M9" s="401"/>
      <c r="N9" s="401"/>
      <c r="O9" s="401"/>
      <c r="P9" s="401"/>
      <c r="R9" s="402" t="s">
        <v>66</v>
      </c>
      <c r="S9" s="402"/>
      <c r="T9" s="402"/>
      <c r="U9" s="402"/>
      <c r="V9" s="402"/>
      <c r="W9" s="3"/>
      <c r="X9" s="3"/>
      <c r="Y9" s="402" t="s">
        <v>68</v>
      </c>
      <c r="Z9" s="402"/>
      <c r="AA9" s="402"/>
      <c r="AB9" s="402"/>
      <c r="AC9" s="402"/>
      <c r="AF9" s="402" t="s">
        <v>69</v>
      </c>
      <c r="AG9" s="402"/>
      <c r="AH9" s="402"/>
      <c r="AI9" s="402"/>
      <c r="AJ9" s="402"/>
      <c r="AK9" s="418" t="s">
        <v>127</v>
      </c>
      <c r="AL9" s="419"/>
      <c r="AM9" s="419"/>
      <c r="AN9" s="419"/>
      <c r="AO9" s="152"/>
    </row>
    <row r="10" spans="2:42" s="5" customFormat="1" ht="19.5" customHeight="1">
      <c r="B10" s="4" t="s">
        <v>0</v>
      </c>
      <c r="J10" s="385"/>
      <c r="K10" s="385"/>
      <c r="L10" s="385"/>
      <c r="M10" s="385"/>
      <c r="N10" s="385"/>
      <c r="O10" s="385"/>
      <c r="P10" s="385"/>
      <c r="Q10" s="6"/>
      <c r="R10" s="387"/>
      <c r="S10" s="388"/>
      <c r="T10" s="388"/>
      <c r="U10" s="388"/>
      <c r="V10" s="389"/>
      <c r="W10" s="363" t="s">
        <v>8</v>
      </c>
      <c r="X10" s="364"/>
      <c r="Y10" s="398"/>
      <c r="Z10" s="399"/>
      <c r="AA10" s="399"/>
      <c r="AB10" s="399"/>
      <c r="AC10" s="400"/>
      <c r="AD10" s="5" t="s">
        <v>67</v>
      </c>
      <c r="AF10" s="403"/>
      <c r="AG10" s="404"/>
      <c r="AH10" s="404"/>
      <c r="AI10" s="404"/>
      <c r="AJ10" s="405"/>
      <c r="AK10" s="5" t="s">
        <v>67</v>
      </c>
      <c r="AL10" s="7"/>
      <c r="AM10" s="8"/>
      <c r="AN10" s="9"/>
      <c r="AO10" s="9"/>
      <c r="AP10" s="9"/>
    </row>
    <row r="11" spans="2:42" s="5" customFormat="1" ht="18" customHeight="1" thickBot="1">
      <c r="B11" s="10"/>
      <c r="G11" s="161" t="str">
        <f>IF(AND(★計算基準!A18=1,★計算基準!C18=6),"７５歳以上加入不可","")</f>
        <v/>
      </c>
      <c r="I11" s="157" t="str">
        <f>IF(AND(★計算基準!K3=TRUE,★計算基準!C18&gt;4),"非自発的失業者の対象は６４歳以下です。","")</f>
        <v/>
      </c>
      <c r="Q11" s="6"/>
      <c r="R11" s="11" t="s">
        <v>160</v>
      </c>
      <c r="S11" s="11"/>
      <c r="T11" s="11"/>
      <c r="U11" s="11"/>
      <c r="V11" s="11"/>
      <c r="W11" s="11"/>
      <c r="X11" s="11"/>
      <c r="Y11" s="11" t="s">
        <v>159</v>
      </c>
      <c r="Z11" s="11"/>
      <c r="AA11" s="11"/>
      <c r="AB11" s="11"/>
      <c r="AL11" s="8"/>
      <c r="AM11" s="9"/>
      <c r="AN11" s="9"/>
      <c r="AO11" s="9"/>
      <c r="AP11" s="9"/>
    </row>
    <row r="12" spans="2:42" s="5" customFormat="1" ht="20.100000000000001" customHeight="1">
      <c r="B12" s="4" t="s">
        <v>1</v>
      </c>
      <c r="J12" s="385"/>
      <c r="K12" s="385"/>
      <c r="L12" s="385"/>
      <c r="M12" s="385"/>
      <c r="N12" s="385"/>
      <c r="O12" s="385"/>
      <c r="P12" s="385"/>
      <c r="Q12" s="6"/>
      <c r="R12" s="387"/>
      <c r="S12" s="388"/>
      <c r="T12" s="388"/>
      <c r="U12" s="388"/>
      <c r="V12" s="389"/>
      <c r="W12" s="363" t="s">
        <v>8</v>
      </c>
      <c r="X12" s="364"/>
      <c r="Y12" s="398"/>
      <c r="Z12" s="399"/>
      <c r="AA12" s="399"/>
      <c r="AB12" s="399"/>
      <c r="AC12" s="400"/>
      <c r="AD12" s="5" t="s">
        <v>67</v>
      </c>
      <c r="AF12" s="403"/>
      <c r="AG12" s="404"/>
      <c r="AH12" s="404"/>
      <c r="AI12" s="404"/>
      <c r="AJ12" s="405"/>
      <c r="AK12" s="5" t="s">
        <v>67</v>
      </c>
      <c r="AL12" s="8"/>
      <c r="AM12" s="9"/>
      <c r="AN12" s="9"/>
      <c r="AO12" s="9"/>
      <c r="AP12" s="9"/>
    </row>
    <row r="13" spans="2:42" s="5" customFormat="1" ht="19.5" customHeight="1" thickBot="1">
      <c r="B13" s="4"/>
      <c r="I13" s="157" t="str">
        <f>IF(AND(★計算基準!D19=0,OR(試算シート!R12&gt;0,試算シート!Y12&gt;0,試算シート!AF12&gt;0)),"未加入者の所得（収入）は保険料計算の対象になりません。",IF(AND(★計算基準!K4=TRUE,★計算基準!C19=6),"非自発的失業者の対象は６４歳以下です。",""))</f>
        <v/>
      </c>
      <c r="Q13" s="6"/>
      <c r="R13" s="11"/>
      <c r="S13" s="11"/>
      <c r="T13" s="11"/>
      <c r="U13" s="11"/>
      <c r="V13" s="11"/>
      <c r="W13" s="11"/>
      <c r="X13" s="11"/>
      <c r="Y13" s="11"/>
      <c r="Z13" s="11"/>
      <c r="AA13" s="11"/>
      <c r="AB13" s="11"/>
      <c r="AL13" s="8"/>
      <c r="AM13" s="9"/>
      <c r="AN13" s="9"/>
      <c r="AO13" s="9"/>
      <c r="AP13" s="9"/>
    </row>
    <row r="14" spans="2:42" s="5" customFormat="1" ht="20.100000000000001" customHeight="1">
      <c r="B14" s="4" t="s">
        <v>2</v>
      </c>
      <c r="J14" s="385"/>
      <c r="K14" s="385"/>
      <c r="L14" s="385"/>
      <c r="M14" s="385"/>
      <c r="N14" s="385"/>
      <c r="O14" s="385"/>
      <c r="P14" s="385"/>
      <c r="Q14" s="6"/>
      <c r="R14" s="387"/>
      <c r="S14" s="388"/>
      <c r="T14" s="388"/>
      <c r="U14" s="388"/>
      <c r="V14" s="389"/>
      <c r="W14" s="363" t="s">
        <v>8</v>
      </c>
      <c r="X14" s="364"/>
      <c r="Y14" s="398"/>
      <c r="Z14" s="399"/>
      <c r="AA14" s="399"/>
      <c r="AB14" s="399"/>
      <c r="AC14" s="400"/>
      <c r="AD14" s="5" t="s">
        <v>67</v>
      </c>
      <c r="AF14" s="403"/>
      <c r="AG14" s="404"/>
      <c r="AH14" s="404"/>
      <c r="AI14" s="404"/>
      <c r="AJ14" s="405"/>
      <c r="AK14" s="5" t="s">
        <v>67</v>
      </c>
      <c r="AL14" s="8"/>
      <c r="AM14" s="9"/>
      <c r="AN14" s="9"/>
      <c r="AO14" s="9"/>
      <c r="AP14" s="9"/>
    </row>
    <row r="15" spans="2:42" s="5" customFormat="1" ht="18" customHeight="1" thickBot="1">
      <c r="B15" s="4"/>
      <c r="I15" s="157" t="str">
        <f>IF(AND(★計算基準!D20=0,OR(試算シート!R14&gt;0,試算シート!Y14&gt;0,試算シート!AF14&gt;0)),"未加入者の所得（収入）は保険料計算の対象になりません。",IF(AND(★計算基準!K5=TRUE,★計算基準!C20=6),"非自発的失業者の対象は６４歳以下です。",""))</f>
        <v/>
      </c>
      <c r="Q15" s="6"/>
      <c r="R15" s="11"/>
      <c r="S15" s="11"/>
      <c r="T15" s="11"/>
      <c r="U15" s="11"/>
      <c r="V15" s="11"/>
      <c r="W15" s="11"/>
      <c r="X15" s="11"/>
      <c r="Y15" s="11"/>
      <c r="Z15" s="11"/>
      <c r="AA15" s="11"/>
      <c r="AB15" s="11"/>
      <c r="AL15" s="8"/>
      <c r="AM15" s="9"/>
      <c r="AN15" s="9"/>
      <c r="AO15" s="9"/>
      <c r="AP15" s="9"/>
    </row>
    <row r="16" spans="2:42" s="5" customFormat="1" ht="20.100000000000001" customHeight="1">
      <c r="B16" s="4" t="s">
        <v>3</v>
      </c>
      <c r="J16" s="385"/>
      <c r="K16" s="385"/>
      <c r="L16" s="385"/>
      <c r="M16" s="385"/>
      <c r="N16" s="385"/>
      <c r="O16" s="385"/>
      <c r="P16" s="385"/>
      <c r="Q16" s="6"/>
      <c r="R16" s="387"/>
      <c r="S16" s="388"/>
      <c r="T16" s="388"/>
      <c r="U16" s="388"/>
      <c r="V16" s="389"/>
      <c r="W16" s="363" t="s">
        <v>8</v>
      </c>
      <c r="X16" s="364"/>
      <c r="Y16" s="398"/>
      <c r="Z16" s="399"/>
      <c r="AA16" s="399"/>
      <c r="AB16" s="399"/>
      <c r="AC16" s="400"/>
      <c r="AD16" s="5" t="s">
        <v>67</v>
      </c>
      <c r="AF16" s="403"/>
      <c r="AG16" s="404"/>
      <c r="AH16" s="404"/>
      <c r="AI16" s="404"/>
      <c r="AJ16" s="405"/>
      <c r="AK16" s="5" t="s">
        <v>67</v>
      </c>
      <c r="AL16" s="8"/>
      <c r="AM16" s="9"/>
      <c r="AN16" s="9"/>
      <c r="AO16" s="9"/>
      <c r="AP16" s="9"/>
    </row>
    <row r="17" spans="2:43" s="5" customFormat="1" ht="17.25" customHeight="1" thickBot="1">
      <c r="B17" s="4"/>
      <c r="I17" s="157" t="str">
        <f>IF(AND(★計算基準!D21=0,OR(試算シート!R16&gt;0,試算シート!Y16&gt;0,試算シート!AF16&gt;0)),"未加入者の所得（収入）は保険料計算の対象になりません。",IF(AND(★計算基準!K6=TRUE,★計算基準!C21=6),"非自発的失業者の対象は６４歳以下です。",""))</f>
        <v/>
      </c>
      <c r="Q17" s="6"/>
      <c r="R17" s="11"/>
      <c r="S17" s="11"/>
      <c r="T17" s="11"/>
      <c r="U17" s="11"/>
      <c r="V17" s="11"/>
      <c r="W17" s="11"/>
      <c r="X17" s="11"/>
      <c r="Y17" s="11"/>
      <c r="Z17" s="11"/>
      <c r="AA17" s="11"/>
      <c r="AB17" s="11"/>
      <c r="AL17" s="8"/>
      <c r="AM17" s="9"/>
      <c r="AN17" s="9"/>
      <c r="AO17" s="9"/>
      <c r="AP17" s="9"/>
    </row>
    <row r="18" spans="2:43" s="5" customFormat="1" ht="20.100000000000001" customHeight="1">
      <c r="B18" s="4" t="s">
        <v>4</v>
      </c>
      <c r="J18" s="386"/>
      <c r="K18" s="386"/>
      <c r="L18" s="386"/>
      <c r="M18" s="386"/>
      <c r="N18" s="386"/>
      <c r="O18" s="386"/>
      <c r="P18" s="386"/>
      <c r="Q18" s="6"/>
      <c r="R18" s="387"/>
      <c r="S18" s="388"/>
      <c r="T18" s="388"/>
      <c r="U18" s="388"/>
      <c r="V18" s="389"/>
      <c r="W18" s="363" t="s">
        <v>8</v>
      </c>
      <c r="X18" s="364"/>
      <c r="Y18" s="398"/>
      <c r="Z18" s="399"/>
      <c r="AA18" s="399"/>
      <c r="AB18" s="399"/>
      <c r="AC18" s="400"/>
      <c r="AD18" s="5" t="s">
        <v>67</v>
      </c>
      <c r="AF18" s="403"/>
      <c r="AG18" s="404"/>
      <c r="AH18" s="404"/>
      <c r="AI18" s="404"/>
      <c r="AJ18" s="405"/>
      <c r="AK18" s="5" t="s">
        <v>67</v>
      </c>
      <c r="AL18" s="8"/>
      <c r="AM18" s="9"/>
      <c r="AN18" s="9"/>
      <c r="AO18" s="9"/>
      <c r="AP18" s="9"/>
    </row>
    <row r="19" spans="2:43" s="5" customFormat="1" ht="18" customHeight="1" thickBot="1">
      <c r="B19" s="4"/>
      <c r="I19" s="157" t="str">
        <f>IF(AND(★計算基準!D22=0,OR(試算シート!R18&gt;0,試算シート!Y18&gt;0,試算シート!AF18&gt;0)),"未加入者の所得（収入）は保険料計算の対象になりません。",IF(AND(★計算基準!K7=TRUE,★計算基準!C22=6),"非自発的失業者の対象は６４歳以下です。",""))</f>
        <v/>
      </c>
      <c r="Q19" s="6"/>
      <c r="R19" s="11"/>
      <c r="S19" s="11"/>
      <c r="T19" s="11"/>
      <c r="U19" s="11"/>
      <c r="V19" s="11"/>
      <c r="W19" s="11"/>
      <c r="X19" s="11"/>
      <c r="Y19" s="11"/>
      <c r="Z19" s="11"/>
      <c r="AA19" s="11"/>
      <c r="AB19" s="11"/>
      <c r="AL19" s="8"/>
      <c r="AM19" s="9"/>
      <c r="AN19" s="9"/>
      <c r="AO19" s="9"/>
      <c r="AP19" s="9"/>
      <c r="AQ19" s="1"/>
    </row>
    <row r="20" spans="2:43" s="5" customFormat="1" ht="20.100000000000001" customHeight="1">
      <c r="B20" s="4" t="s">
        <v>5</v>
      </c>
      <c r="J20" s="385"/>
      <c r="K20" s="385"/>
      <c r="L20" s="385"/>
      <c r="M20" s="385"/>
      <c r="N20" s="385"/>
      <c r="O20" s="385"/>
      <c r="P20" s="385"/>
      <c r="Q20" s="6"/>
      <c r="R20" s="387"/>
      <c r="S20" s="388"/>
      <c r="T20" s="388"/>
      <c r="U20" s="388"/>
      <c r="V20" s="389"/>
      <c r="W20" s="363" t="s">
        <v>8</v>
      </c>
      <c r="X20" s="364"/>
      <c r="Y20" s="398"/>
      <c r="Z20" s="399"/>
      <c r="AA20" s="399"/>
      <c r="AB20" s="399"/>
      <c r="AC20" s="400"/>
      <c r="AD20" s="5" t="s">
        <v>67</v>
      </c>
      <c r="AF20" s="403"/>
      <c r="AG20" s="404"/>
      <c r="AH20" s="404"/>
      <c r="AI20" s="404"/>
      <c r="AJ20" s="405"/>
      <c r="AK20" s="5" t="s">
        <v>67</v>
      </c>
      <c r="AL20" s="8"/>
      <c r="AM20" s="9"/>
      <c r="AN20" s="9"/>
      <c r="AO20" s="9"/>
      <c r="AP20" s="9"/>
    </row>
    <row r="21" spans="2:43" ht="20.25" customHeight="1">
      <c r="I21" s="157" t="str">
        <f>IF(AND(★計算基準!D23=0,OR(試算シート!R20&gt;0,試算シート!Y20&gt;0,試算シート!AF20&gt;0)),"未加入者の所得（収入）は保険料計算の対象になりません。",IF(AND(★計算基準!K8=TRUE,★計算基準!C23=6),"非自発的失業者の対象は６４歳以下です。",""))</f>
        <v/>
      </c>
      <c r="R21" s="11"/>
      <c r="S21" s="11"/>
      <c r="T21" s="11"/>
      <c r="U21" s="11"/>
      <c r="V21" s="11"/>
      <c r="W21" s="11"/>
      <c r="X21" s="11"/>
      <c r="Y21" s="11"/>
      <c r="Z21" s="11"/>
      <c r="AA21" s="11"/>
      <c r="AB21" s="11"/>
      <c r="AC21" s="5"/>
      <c r="AD21" s="5"/>
      <c r="AE21" s="5"/>
      <c r="AF21" s="5"/>
      <c r="AG21" s="5"/>
      <c r="AH21" s="5"/>
      <c r="AI21" s="5"/>
      <c r="AJ21" s="5"/>
      <c r="AK21" s="5"/>
    </row>
    <row r="22" spans="2:43" ht="6" customHeight="1" thickBot="1"/>
    <row r="23" spans="2:43" ht="30" customHeight="1" thickBot="1">
      <c r="B23" s="382" t="s">
        <v>47</v>
      </c>
      <c r="C23" s="383"/>
      <c r="D23" s="383"/>
      <c r="E23" s="383"/>
      <c r="F23" s="383"/>
      <c r="G23" s="383"/>
      <c r="H23" s="384"/>
      <c r="I23" s="390" t="s">
        <v>144</v>
      </c>
      <c r="J23" s="391"/>
      <c r="K23" s="391"/>
      <c r="L23" s="391"/>
      <c r="M23" s="391"/>
      <c r="N23" s="391"/>
      <c r="O23" s="391"/>
      <c r="P23" s="392" t="s">
        <v>9</v>
      </c>
      <c r="Q23" s="391"/>
      <c r="R23" s="391"/>
      <c r="S23" s="391"/>
      <c r="T23" s="391"/>
      <c r="U23" s="391"/>
      <c r="V23" s="391"/>
      <c r="W23" s="375" t="s">
        <v>49</v>
      </c>
      <c r="X23" s="376"/>
      <c r="Y23" s="376"/>
      <c r="Z23" s="376"/>
      <c r="AA23" s="376"/>
      <c r="AB23" s="376"/>
      <c r="AC23" s="377"/>
      <c r="AD23" s="3"/>
      <c r="AE23" s="3"/>
      <c r="AF23" s="3"/>
      <c r="AG23" s="3"/>
      <c r="AH23" s="3"/>
      <c r="AI23" s="3"/>
    </row>
    <row r="24" spans="2:43" ht="15.75" customHeight="1">
      <c r="I24" s="12"/>
      <c r="J24" s="12"/>
      <c r="K24" s="13"/>
      <c r="L24" s="14"/>
      <c r="M24" s="12"/>
      <c r="N24" s="12"/>
      <c r="O24" s="12"/>
      <c r="P24" s="12"/>
      <c r="Q24" s="12"/>
      <c r="R24" s="13"/>
      <c r="S24" s="14"/>
      <c r="T24" s="14"/>
      <c r="U24" s="14"/>
      <c r="V24" s="12"/>
      <c r="W24" s="12"/>
      <c r="X24" s="12"/>
      <c r="Y24" s="12"/>
      <c r="Z24" s="14"/>
      <c r="AA24" s="14"/>
      <c r="AB24" s="12"/>
      <c r="AC24" s="14"/>
      <c r="AD24" s="12"/>
      <c r="AE24" s="12"/>
      <c r="AF24" s="15"/>
      <c r="AG24" s="15"/>
      <c r="AH24" s="5"/>
      <c r="AI24" s="5"/>
      <c r="AJ24" s="5"/>
      <c r="AK24" s="5"/>
      <c r="AL24" s="5"/>
    </row>
    <row r="25" spans="2:43" ht="30" customHeight="1">
      <c r="B25" s="393" t="s">
        <v>15</v>
      </c>
      <c r="C25" s="394"/>
      <c r="D25" s="394"/>
      <c r="E25" s="394"/>
      <c r="F25" s="394"/>
      <c r="G25" s="394"/>
      <c r="H25" s="395"/>
      <c r="I25" s="396">
        <f>★計算基準!L24</f>
        <v>0</v>
      </c>
      <c r="J25" s="397"/>
      <c r="K25" s="397"/>
      <c r="L25" s="397"/>
      <c r="M25" s="397"/>
      <c r="N25" s="397"/>
      <c r="O25" s="270" t="s">
        <v>8</v>
      </c>
      <c r="P25" s="380">
        <f>★計算基準!M24</f>
        <v>0</v>
      </c>
      <c r="Q25" s="381"/>
      <c r="R25" s="381"/>
      <c r="S25" s="381"/>
      <c r="T25" s="381"/>
      <c r="U25" s="381"/>
      <c r="V25" s="271" t="s">
        <v>48</v>
      </c>
      <c r="W25" s="378">
        <f>IF(★計算基準!C37=0,0,★計算基準!N24)</f>
        <v>0</v>
      </c>
      <c r="X25" s="379"/>
      <c r="Y25" s="379"/>
      <c r="Z25" s="379"/>
      <c r="AA25" s="379"/>
      <c r="AB25" s="379"/>
      <c r="AC25" s="16" t="s">
        <v>8</v>
      </c>
      <c r="AD25" s="17"/>
      <c r="AE25" s="17"/>
      <c r="AF25" s="17"/>
      <c r="AG25" s="17"/>
      <c r="AH25" s="17"/>
      <c r="AI25" s="18"/>
    </row>
    <row r="26" spans="2:43" ht="15" customHeight="1">
      <c r="B26" s="19"/>
      <c r="I26" s="372" t="s">
        <v>11</v>
      </c>
      <c r="J26" s="373"/>
      <c r="K26" s="373"/>
      <c r="L26" s="373"/>
      <c r="M26" s="373"/>
      <c r="N26" s="373"/>
      <c r="O26" s="373"/>
      <c r="P26" s="372" t="s">
        <v>11</v>
      </c>
      <c r="Q26" s="373"/>
      <c r="R26" s="373"/>
      <c r="S26" s="373"/>
      <c r="T26" s="373"/>
      <c r="U26" s="373"/>
      <c r="V26" s="373"/>
      <c r="W26" s="372" t="s">
        <v>11</v>
      </c>
      <c r="X26" s="373"/>
      <c r="Y26" s="373"/>
      <c r="Z26" s="373"/>
      <c r="AA26" s="373"/>
      <c r="AB26" s="373"/>
      <c r="AC26" s="374"/>
      <c r="AD26" s="12"/>
      <c r="AE26" s="20"/>
      <c r="AF26" s="18"/>
      <c r="AG26" s="18"/>
      <c r="AH26" s="18"/>
      <c r="AI26" s="18"/>
      <c r="AJ26" s="18"/>
      <c r="AK26" s="5"/>
    </row>
    <row r="27" spans="2:43" ht="30" customHeight="1">
      <c r="B27" s="393" t="s">
        <v>16</v>
      </c>
      <c r="C27" s="394"/>
      <c r="D27" s="394"/>
      <c r="E27" s="394"/>
      <c r="F27" s="394"/>
      <c r="G27" s="394"/>
      <c r="H27" s="395"/>
      <c r="I27" s="396">
        <f>IF(★計算基準!C36=0,0,計算の詳細!P17)</f>
        <v>5994</v>
      </c>
      <c r="J27" s="397"/>
      <c r="K27" s="397"/>
      <c r="L27" s="397"/>
      <c r="M27" s="397"/>
      <c r="N27" s="397"/>
      <c r="O27" s="270" t="s">
        <v>8</v>
      </c>
      <c r="P27" s="380">
        <f>IF(★計算基準!C36=0,0,計算の詳細!P39)</f>
        <v>3100</v>
      </c>
      <c r="Q27" s="381"/>
      <c r="R27" s="381"/>
      <c r="S27" s="381"/>
      <c r="T27" s="381"/>
      <c r="U27" s="381"/>
      <c r="V27" s="271" t="s">
        <v>8</v>
      </c>
      <c r="W27" s="378">
        <f>IF(★計算基準!C37=0,0,計算の詳細!P60+IF(計算の詳細!P61="",0,計算の詳細!P61))</f>
        <v>3115</v>
      </c>
      <c r="X27" s="379"/>
      <c r="Y27" s="379"/>
      <c r="Z27" s="379"/>
      <c r="AA27" s="379"/>
      <c r="AB27" s="379"/>
      <c r="AC27" s="16" t="s">
        <v>8</v>
      </c>
      <c r="AD27" s="17"/>
      <c r="AE27" s="17"/>
      <c r="AF27" s="17"/>
      <c r="AG27" s="17"/>
      <c r="AH27" s="17"/>
      <c r="AI27" s="18"/>
    </row>
    <row r="28" spans="2:43" ht="15" customHeight="1">
      <c r="B28" s="19"/>
      <c r="I28" s="372" t="s">
        <v>53</v>
      </c>
      <c r="J28" s="373"/>
      <c r="K28" s="373"/>
      <c r="L28" s="373"/>
      <c r="M28" s="373"/>
      <c r="N28" s="373"/>
      <c r="O28" s="373"/>
      <c r="P28" s="372" t="s">
        <v>53</v>
      </c>
      <c r="Q28" s="373"/>
      <c r="R28" s="373"/>
      <c r="S28" s="373"/>
      <c r="T28" s="373"/>
      <c r="U28" s="373"/>
      <c r="V28" s="373"/>
      <c r="W28" s="372" t="s">
        <v>11</v>
      </c>
      <c r="X28" s="373"/>
      <c r="Y28" s="373"/>
      <c r="Z28" s="373"/>
      <c r="AA28" s="373"/>
      <c r="AB28" s="373"/>
      <c r="AC28" s="374"/>
      <c r="AD28" s="13"/>
      <c r="AE28" s="21"/>
      <c r="AF28" s="18"/>
      <c r="AG28" s="18"/>
      <c r="AH28" s="18"/>
      <c r="AI28" s="18"/>
      <c r="AJ28" s="18"/>
      <c r="AK28" s="5"/>
    </row>
    <row r="29" spans="2:43" ht="30" customHeight="1">
      <c r="B29" s="393" t="s">
        <v>145</v>
      </c>
      <c r="C29" s="394"/>
      <c r="D29" s="394"/>
      <c r="E29" s="394"/>
      <c r="F29" s="394"/>
      <c r="G29" s="394"/>
      <c r="H29" s="395"/>
      <c r="I29" s="396">
        <f>IF(★計算基準!C36=0,0,計算の詳細!P21)</f>
        <v>5658</v>
      </c>
      <c r="J29" s="397"/>
      <c r="K29" s="397"/>
      <c r="L29" s="397"/>
      <c r="M29" s="397"/>
      <c r="N29" s="397"/>
      <c r="O29" s="270" t="s">
        <v>8</v>
      </c>
      <c r="P29" s="380">
        <f>IF(★計算基準!C36=0,0,計算の詳細!P43+IF(計算の詳細!P44="",0,計算の詳細!P44))</f>
        <v>2927</v>
      </c>
      <c r="Q29" s="381"/>
      <c r="R29" s="381"/>
      <c r="S29" s="381"/>
      <c r="T29" s="381"/>
      <c r="U29" s="381"/>
      <c r="V29" s="289" t="s">
        <v>8</v>
      </c>
      <c r="W29" s="378">
        <f>IF(★計算基準!C37=0,0,計算の詳細!P64+IF(計算の詳細!P65="",0,計算の詳細!P65))</f>
        <v>2373</v>
      </c>
      <c r="X29" s="379"/>
      <c r="Y29" s="379"/>
      <c r="Z29" s="379"/>
      <c r="AA29" s="379"/>
      <c r="AB29" s="379"/>
      <c r="AC29" s="16" t="s">
        <v>8</v>
      </c>
      <c r="AD29" s="17"/>
      <c r="AE29" s="17"/>
      <c r="AF29" s="17"/>
      <c r="AG29" s="17"/>
      <c r="AH29" s="17"/>
      <c r="AI29" s="18"/>
    </row>
    <row r="30" spans="2:43" ht="15" customHeight="1">
      <c r="B30" s="19"/>
      <c r="I30" s="430" t="str">
        <f>IF(B31="","","|")</f>
        <v/>
      </c>
      <c r="J30" s="431"/>
      <c r="K30" s="431"/>
      <c r="L30" s="431"/>
      <c r="M30" s="431"/>
      <c r="N30" s="431"/>
      <c r="O30" s="431"/>
      <c r="P30" s="430" t="str">
        <f>IF(B31="","","|")</f>
        <v/>
      </c>
      <c r="Q30" s="431"/>
      <c r="R30" s="431"/>
      <c r="S30" s="431"/>
      <c r="T30" s="431"/>
      <c r="U30" s="431"/>
      <c r="V30" s="431"/>
      <c r="W30" s="411"/>
      <c r="X30" s="412"/>
      <c r="Y30" s="412"/>
      <c r="Z30" s="412"/>
      <c r="AA30" s="412"/>
      <c r="AB30" s="412"/>
      <c r="AC30" s="412"/>
      <c r="AD30" s="13"/>
      <c r="AE30" s="21"/>
      <c r="AF30" s="18"/>
      <c r="AG30" s="18"/>
      <c r="AH30" s="18"/>
      <c r="AI30" s="18"/>
      <c r="AJ30" s="18"/>
      <c r="AK30" s="5"/>
    </row>
    <row r="31" spans="2:43" ht="30" customHeight="1">
      <c r="B31" s="432" t="str">
        <f>IF(計算の詳細!C24="","","多子世帯減免")</f>
        <v/>
      </c>
      <c r="C31" s="432"/>
      <c r="D31" s="432"/>
      <c r="E31" s="432"/>
      <c r="F31" s="432"/>
      <c r="G31" s="432"/>
      <c r="H31" s="432"/>
      <c r="I31" s="433" t="str">
        <f>IF(B31="","",計算の詳細!K24)</f>
        <v/>
      </c>
      <c r="J31" s="433"/>
      <c r="K31" s="433"/>
      <c r="L31" s="433"/>
      <c r="M31" s="433"/>
      <c r="N31" s="433"/>
      <c r="O31" s="288" t="str">
        <f>IF(B31="","","円")</f>
        <v/>
      </c>
      <c r="P31" s="433" t="str">
        <f>IF(B31="","",計算の詳細!K46)</f>
        <v/>
      </c>
      <c r="Q31" s="434"/>
      <c r="R31" s="434"/>
      <c r="S31" s="434"/>
      <c r="T31" s="434"/>
      <c r="U31" s="434"/>
      <c r="V31" s="288" t="str">
        <f>IF(B31="","","円")</f>
        <v/>
      </c>
      <c r="W31" s="433"/>
      <c r="X31" s="434"/>
      <c r="Y31" s="434"/>
      <c r="Z31" s="434"/>
      <c r="AA31" s="434"/>
      <c r="AB31" s="434"/>
      <c r="AC31" s="288"/>
      <c r="AD31" s="17"/>
      <c r="AE31" s="17"/>
      <c r="AF31" s="17"/>
      <c r="AG31" s="17"/>
      <c r="AH31" s="17"/>
      <c r="AI31" s="18"/>
    </row>
    <row r="32" spans="2:43" ht="15" customHeight="1" thickBot="1">
      <c r="B32" s="5"/>
      <c r="C32" s="5"/>
      <c r="D32" s="5"/>
      <c r="E32" s="5"/>
      <c r="F32" s="5"/>
      <c r="G32" s="5"/>
      <c r="H32" s="5"/>
      <c r="I32" s="427" t="s">
        <v>51</v>
      </c>
      <c r="J32" s="427"/>
      <c r="K32" s="427"/>
      <c r="L32" s="427"/>
      <c r="M32" s="427"/>
      <c r="N32" s="427"/>
      <c r="O32" s="427"/>
      <c r="P32" s="427" t="s">
        <v>138</v>
      </c>
      <c r="Q32" s="427"/>
      <c r="R32" s="427"/>
      <c r="S32" s="427"/>
      <c r="T32" s="427"/>
      <c r="U32" s="427"/>
      <c r="V32" s="427"/>
      <c r="W32" s="427" t="s">
        <v>51</v>
      </c>
      <c r="X32" s="427"/>
      <c r="Y32" s="427"/>
      <c r="Z32" s="427"/>
      <c r="AA32" s="427"/>
      <c r="AB32" s="427"/>
      <c r="AC32" s="427"/>
      <c r="AD32" s="5"/>
      <c r="AE32" s="5"/>
      <c r="AF32" s="409" t="s">
        <v>17</v>
      </c>
      <c r="AG32" s="409"/>
      <c r="AH32" s="409"/>
      <c r="AI32" s="409"/>
      <c r="AJ32" s="409"/>
      <c r="AK32" s="409"/>
      <c r="AL32" s="409"/>
      <c r="AM32" s="409"/>
      <c r="AN32" s="5"/>
    </row>
    <row r="33" spans="2:39" ht="34.5" customHeight="1" thickTop="1" thickBot="1">
      <c r="B33" s="382" t="s">
        <v>12</v>
      </c>
      <c r="C33" s="383"/>
      <c r="D33" s="383"/>
      <c r="E33" s="383"/>
      <c r="F33" s="383"/>
      <c r="G33" s="383"/>
      <c r="H33" s="384"/>
      <c r="I33" s="416">
        <f>IF(ROUNDDOWN(I25+I27+I29-MAX(I31,0),-2)&gt;=★計算基準!F12,★計算基準!F12,ROUNDDOWN(I25+I27+I29-MAX(I31,0),-2))</f>
        <v>11600</v>
      </c>
      <c r="J33" s="417"/>
      <c r="K33" s="417"/>
      <c r="L33" s="417"/>
      <c r="M33" s="417"/>
      <c r="N33" s="417"/>
      <c r="O33" s="164" t="s">
        <v>8</v>
      </c>
      <c r="P33" s="428">
        <f>IF(ROUNDDOWN(P25+P27+P29-MAX(P31,0),-2)&gt;=★計算基準!F13,★計算基準!F13,ROUNDDOWN(P25+P27+P29-MAX(P31,0),-2))</f>
        <v>6000</v>
      </c>
      <c r="Q33" s="429"/>
      <c r="R33" s="429"/>
      <c r="S33" s="429"/>
      <c r="T33" s="429"/>
      <c r="U33" s="429"/>
      <c r="V33" s="165" t="s">
        <v>8</v>
      </c>
      <c r="W33" s="410">
        <f>IF(ROUNDDOWN(W25+W27+W29,-2)&gt;=★計算基準!F14,★計算基準!F14,ROUNDDOWN(W25+W27+W29,-2))</f>
        <v>5400</v>
      </c>
      <c r="X33" s="410"/>
      <c r="Y33" s="410"/>
      <c r="Z33" s="410"/>
      <c r="AA33" s="410"/>
      <c r="AB33" s="410"/>
      <c r="AC33" s="163" t="s">
        <v>50</v>
      </c>
      <c r="AD33" s="23"/>
      <c r="AF33" s="406">
        <f>I33+P33+W33</f>
        <v>23000</v>
      </c>
      <c r="AG33" s="407"/>
      <c r="AH33" s="408"/>
      <c r="AI33" s="408"/>
      <c r="AJ33" s="408"/>
      <c r="AK33" s="408"/>
      <c r="AL33" s="408"/>
      <c r="AM33" s="24" t="s">
        <v>8</v>
      </c>
    </row>
    <row r="34" spans="2:39" ht="6" customHeight="1"/>
    <row r="35" spans="2:39" ht="18" customHeight="1">
      <c r="B35" s="25" t="s">
        <v>63</v>
      </c>
      <c r="C35" s="26"/>
      <c r="D35" s="27"/>
      <c r="E35" s="27"/>
      <c r="F35" s="27"/>
      <c r="G35" s="27"/>
      <c r="AD35" s="28" t="s">
        <v>65</v>
      </c>
      <c r="AF35" s="420">
        <f>AF33/12</f>
        <v>1916.6666666666667</v>
      </c>
      <c r="AG35" s="421"/>
      <c r="AH35" s="422"/>
      <c r="AI35" s="422"/>
      <c r="AJ35" s="422"/>
      <c r="AK35" s="422"/>
      <c r="AL35" s="422"/>
      <c r="AM35" s="29" t="s">
        <v>37</v>
      </c>
    </row>
    <row r="36" spans="2:39" ht="18" customHeight="1">
      <c r="B36" s="167"/>
      <c r="C36" s="168"/>
      <c r="D36" s="36"/>
      <c r="E36" s="36"/>
      <c r="F36" s="36"/>
      <c r="G36" s="36"/>
      <c r="H36" s="5"/>
      <c r="I36" s="5"/>
      <c r="J36" s="5"/>
      <c r="K36" s="5"/>
      <c r="L36" s="5"/>
      <c r="M36" s="5"/>
      <c r="N36" s="5"/>
      <c r="O36" s="5"/>
      <c r="P36" s="5"/>
      <c r="Q36" s="5"/>
      <c r="R36" s="5"/>
      <c r="S36" s="5"/>
      <c r="T36" s="5"/>
      <c r="U36" s="5"/>
      <c r="V36" s="5"/>
      <c r="W36" s="5"/>
      <c r="X36" s="5"/>
      <c r="Y36" s="5"/>
      <c r="Z36" s="5"/>
      <c r="AA36" s="5"/>
      <c r="AB36" s="5"/>
      <c r="AC36" s="5"/>
      <c r="AD36" s="28"/>
      <c r="AF36" s="424" t="s">
        <v>64</v>
      </c>
      <c r="AG36" s="425"/>
      <c r="AH36" s="426"/>
      <c r="AI36" s="426"/>
      <c r="AJ36" s="426"/>
      <c r="AK36" s="426"/>
      <c r="AL36" s="426"/>
      <c r="AM36" s="426"/>
    </row>
    <row r="37" spans="2:39" ht="6" customHeight="1" thickBot="1">
      <c r="AD37" s="3"/>
    </row>
    <row r="38" spans="2:39" ht="30" customHeight="1" thickBot="1">
      <c r="B38" s="19"/>
      <c r="H38" s="30" t="s">
        <v>14</v>
      </c>
      <c r="I38" s="415">
        <f>★計算基準!F12</f>
        <v>660000</v>
      </c>
      <c r="J38" s="414"/>
      <c r="K38" s="414"/>
      <c r="L38" s="414"/>
      <c r="M38" s="414"/>
      <c r="N38" s="414"/>
      <c r="O38" s="166" t="s">
        <v>8</v>
      </c>
      <c r="P38" s="413">
        <f>★計算基準!F13</f>
        <v>260000</v>
      </c>
      <c r="Q38" s="414"/>
      <c r="R38" s="414"/>
      <c r="S38" s="414"/>
      <c r="T38" s="414"/>
      <c r="U38" s="414"/>
      <c r="V38" s="165" t="s">
        <v>8</v>
      </c>
      <c r="W38" s="423">
        <f>★計算基準!F14</f>
        <v>170000</v>
      </c>
      <c r="X38" s="414"/>
      <c r="Y38" s="414"/>
      <c r="Z38" s="414"/>
      <c r="AA38" s="414"/>
      <c r="AB38" s="414"/>
      <c r="AC38" s="163" t="s">
        <v>37</v>
      </c>
      <c r="AF38" s="31"/>
      <c r="AG38" s="31"/>
    </row>
    <row r="39" spans="2:39" ht="9.9499999999999993" customHeight="1">
      <c r="AD39" s="3"/>
    </row>
    <row r="40" spans="2:39" ht="20.100000000000001" customHeight="1">
      <c r="B40" s="169" t="str">
        <f>IF(ISNA(IF(VLOOKUP("○",★計算基準!G46:K49,5,FALSE)=0,"",VLOOKUP("○",★計算基準!G46:K49,5,FALSE)))=TRUE,"",IF(VLOOKUP("○",★計算基準!G46:K49,5,FALSE)=0,"",VLOOKUP("○",★計算基準!G46:K49,5,FALSE)))</f>
        <v>均等割と平等割を７割減額しています。</v>
      </c>
      <c r="H40" s="32"/>
      <c r="I40" s="33"/>
      <c r="J40" s="3"/>
      <c r="K40" s="3"/>
      <c r="L40" s="3"/>
      <c r="M40" s="3"/>
      <c r="N40" s="3"/>
      <c r="O40" s="5"/>
      <c r="P40" s="33"/>
      <c r="Q40" s="3"/>
      <c r="R40" s="3"/>
      <c r="S40" s="3"/>
      <c r="T40" s="3"/>
      <c r="U40" s="3"/>
      <c r="V40" s="3"/>
      <c r="W40" s="33"/>
      <c r="X40" s="33"/>
      <c r="Y40" s="33"/>
      <c r="Z40" s="33"/>
      <c r="AA40" s="33"/>
      <c r="AB40" s="33"/>
      <c r="AC40" s="33"/>
      <c r="AD40" s="3"/>
    </row>
    <row r="41" spans="2:39" ht="20.100000000000001" customHeight="1">
      <c r="B41" s="260" t="str">
        <f>IF(★計算基準!H42=0,"","未就学児にかかる均等割額の減額を適用しています。")</f>
        <v/>
      </c>
      <c r="H41" s="32"/>
      <c r="I41" s="33"/>
      <c r="J41" s="3"/>
      <c r="K41" s="3"/>
      <c r="L41" s="3"/>
      <c r="M41" s="3"/>
      <c r="N41" s="3"/>
      <c r="O41" s="5"/>
      <c r="P41" s="33"/>
      <c r="Q41" s="3"/>
      <c r="R41" s="3"/>
      <c r="S41" s="3"/>
      <c r="T41" s="3"/>
      <c r="U41" s="3"/>
      <c r="V41" s="3"/>
      <c r="W41" s="33"/>
      <c r="X41" s="33"/>
      <c r="Y41" s="33"/>
      <c r="Z41" s="33"/>
      <c r="AA41" s="33"/>
      <c r="AB41" s="33"/>
      <c r="AC41" s="33"/>
      <c r="AD41" s="3"/>
    </row>
    <row r="42" spans="2:39" ht="20.100000000000001" customHeight="1">
      <c r="B42" s="260" t="str">
        <f>★計算基準!I15</f>
        <v/>
      </c>
    </row>
    <row r="43" spans="2:39" ht="20.100000000000001" customHeight="1">
      <c r="B43" s="260" t="str">
        <f>IF(★計算基準!I33=0,"","多子世帯減免を適用しています。")</f>
        <v/>
      </c>
    </row>
    <row r="44" spans="2:39" ht="6" customHeight="1"/>
  </sheetData>
  <sheetProtection algorithmName="SHA-512" hashValue="HFNfLAOD9R2apmpu0IXbP38r7ybfZUeKsESQSPCFSOb2KS28lnLGAR81n+6Basex11g5EwNrexQwnJjFYWcObg==" saltValue="UEC0zBYp3DOm/lsSS90dNw==" spinCount="100000" sheet="1" objects="1" scenarios="1" selectLockedCells="1"/>
  <mergeCells count="72">
    <mergeCell ref="B29:H29"/>
    <mergeCell ref="B33:H33"/>
    <mergeCell ref="I29:N29"/>
    <mergeCell ref="P29:U29"/>
    <mergeCell ref="W32:AC32"/>
    <mergeCell ref="P33:U33"/>
    <mergeCell ref="I32:O32"/>
    <mergeCell ref="P32:V32"/>
    <mergeCell ref="I30:O30"/>
    <mergeCell ref="P30:V30"/>
    <mergeCell ref="B31:H31"/>
    <mergeCell ref="I31:N31"/>
    <mergeCell ref="P31:U31"/>
    <mergeCell ref="W31:AB31"/>
    <mergeCell ref="P38:U38"/>
    <mergeCell ref="I38:N38"/>
    <mergeCell ref="I33:N33"/>
    <mergeCell ref="AK9:AN9"/>
    <mergeCell ref="AF12:AJ12"/>
    <mergeCell ref="AF14:AJ14"/>
    <mergeCell ref="AF16:AJ16"/>
    <mergeCell ref="R12:V12"/>
    <mergeCell ref="Y12:AC12"/>
    <mergeCell ref="AF18:AJ18"/>
    <mergeCell ref="R20:V20"/>
    <mergeCell ref="AF20:AJ20"/>
    <mergeCell ref="AF35:AL35"/>
    <mergeCell ref="W38:AB38"/>
    <mergeCell ref="AF36:AM36"/>
    <mergeCell ref="W29:AB29"/>
    <mergeCell ref="AF33:AL33"/>
    <mergeCell ref="AF32:AM32"/>
    <mergeCell ref="W33:AB33"/>
    <mergeCell ref="W30:AC30"/>
    <mergeCell ref="Y20:AC20"/>
    <mergeCell ref="AF10:AJ10"/>
    <mergeCell ref="AF9:AJ9"/>
    <mergeCell ref="Y10:AC10"/>
    <mergeCell ref="Y9:AC9"/>
    <mergeCell ref="Y14:AC14"/>
    <mergeCell ref="Y16:AC16"/>
    <mergeCell ref="Y18:AC18"/>
    <mergeCell ref="I9:P9"/>
    <mergeCell ref="R10:V10"/>
    <mergeCell ref="R9:V9"/>
    <mergeCell ref="R14:V14"/>
    <mergeCell ref="R16:V16"/>
    <mergeCell ref="B25:H25"/>
    <mergeCell ref="I25:N25"/>
    <mergeCell ref="B27:H27"/>
    <mergeCell ref="I27:N27"/>
    <mergeCell ref="P25:U25"/>
    <mergeCell ref="B23:H23"/>
    <mergeCell ref="J10:P10"/>
    <mergeCell ref="J18:P18"/>
    <mergeCell ref="J20:P20"/>
    <mergeCell ref="R18:V18"/>
    <mergeCell ref="I23:O23"/>
    <mergeCell ref="P23:V23"/>
    <mergeCell ref="J16:P16"/>
    <mergeCell ref="J14:P14"/>
    <mergeCell ref="J12:P12"/>
    <mergeCell ref="I28:O28"/>
    <mergeCell ref="W26:AC26"/>
    <mergeCell ref="W28:AC28"/>
    <mergeCell ref="W23:AC23"/>
    <mergeCell ref="W25:AB25"/>
    <mergeCell ref="W27:AB27"/>
    <mergeCell ref="P27:U27"/>
    <mergeCell ref="I26:O26"/>
    <mergeCell ref="P28:V28"/>
    <mergeCell ref="P26:V26"/>
  </mergeCells>
  <phoneticPr fontId="2"/>
  <conditionalFormatting sqref="B31:H31">
    <cfRule type="expression" dxfId="10" priority="5">
      <formula>$B$31&lt;&gt;""</formula>
    </cfRule>
    <cfRule type="cellIs" dxfId="9" priority="18" operator="equal">
      <formula>"多子世帯減免"</formula>
    </cfRule>
  </conditionalFormatting>
  <conditionalFormatting sqref="I31:N31">
    <cfRule type="expression" dxfId="8" priority="4">
      <formula>$I$31&lt;&gt;""</formula>
    </cfRule>
    <cfRule type="notContainsBlanks" dxfId="7" priority="6">
      <formula>LEN(TRIM(I31))&gt;0</formula>
    </cfRule>
  </conditionalFormatting>
  <conditionalFormatting sqref="O31">
    <cfRule type="expression" dxfId="6" priority="3">
      <formula>$O$31&lt;&gt;""</formula>
    </cfRule>
    <cfRule type="cellIs" dxfId="5" priority="17" operator="equal">
      <formula>"円"</formula>
    </cfRule>
  </conditionalFormatting>
  <conditionalFormatting sqref="P31:U31">
    <cfRule type="expression" dxfId="4" priority="2">
      <formula>$P$31&lt;&gt;""</formula>
    </cfRule>
    <cfRule type="notContainsBlanks" dxfId="3" priority="7">
      <formula>LEN(TRIM(P31))&gt;0</formula>
    </cfRule>
  </conditionalFormatting>
  <conditionalFormatting sqref="V31">
    <cfRule type="expression" dxfId="2" priority="1">
      <formula>$V$31&lt;&gt;""</formula>
    </cfRule>
    <cfRule type="cellIs" dxfId="1" priority="11" operator="equal">
      <formula>"円"</formula>
    </cfRule>
    <cfRule type="cellIs" dxfId="0" priority="13" operator="equal">
      <formula>"円"</formula>
    </cfRule>
  </conditionalFormatting>
  <printOptions horizontalCentered="1"/>
  <pageMargins left="0.39370078740157483" right="0.39370078740157483" top="0.39370078740157483" bottom="0.39370078740157483" header="0.70866141732283472" footer="0"/>
  <pageSetup paperSize="9" scale="89" orientation="portrait" r:id="rId1"/>
  <headerFooter alignWithMargins="0">
    <oddHeader>&amp;R&amp;"BIZ UDゴシック,標準"&amp;D</oddHeader>
  </headerFooter>
  <rowBreaks count="1" manualBreakCount="1">
    <brk id="44"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75" r:id="rId4" name="Drop Down 51">
              <controlPr locked="0" defaultSize="0" autoLine="0" autoPict="0">
                <anchor moveWithCells="1" sizeWithCells="1">
                  <from>
                    <xdr:col>7</xdr:col>
                    <xdr:colOff>171450</xdr:colOff>
                    <xdr:row>9</xdr:row>
                    <xdr:rowOff>0</xdr:rowOff>
                  </from>
                  <to>
                    <xdr:col>15</xdr:col>
                    <xdr:colOff>180975</xdr:colOff>
                    <xdr:row>10</xdr:row>
                    <xdr:rowOff>0</xdr:rowOff>
                  </to>
                </anchor>
              </controlPr>
            </control>
          </mc:Choice>
        </mc:AlternateContent>
        <mc:AlternateContent xmlns:mc="http://schemas.openxmlformats.org/markup-compatibility/2006">
          <mc:Choice Requires="x14">
            <control shapeId="1087" r:id="rId5" name="Drop Down 63">
              <controlPr locked="0" defaultSize="0" autoLine="0" autoPict="0">
                <anchor moveWithCells="1" sizeWithCells="1">
                  <from>
                    <xdr:col>7</xdr:col>
                    <xdr:colOff>161925</xdr:colOff>
                    <xdr:row>11</xdr:row>
                    <xdr:rowOff>0</xdr:rowOff>
                  </from>
                  <to>
                    <xdr:col>15</xdr:col>
                    <xdr:colOff>171450</xdr:colOff>
                    <xdr:row>12</xdr:row>
                    <xdr:rowOff>0</xdr:rowOff>
                  </to>
                </anchor>
              </controlPr>
            </control>
          </mc:Choice>
        </mc:AlternateContent>
        <mc:AlternateContent xmlns:mc="http://schemas.openxmlformats.org/markup-compatibility/2006">
          <mc:Choice Requires="x14">
            <control shapeId="1088" r:id="rId6" name="Drop Down 64">
              <controlPr locked="0" defaultSize="0" autoLine="0" autoPict="0">
                <anchor moveWithCells="1" sizeWithCells="1">
                  <from>
                    <xdr:col>7</xdr:col>
                    <xdr:colOff>161925</xdr:colOff>
                    <xdr:row>13</xdr:row>
                    <xdr:rowOff>0</xdr:rowOff>
                  </from>
                  <to>
                    <xdr:col>15</xdr:col>
                    <xdr:colOff>171450</xdr:colOff>
                    <xdr:row>14</xdr:row>
                    <xdr:rowOff>0</xdr:rowOff>
                  </to>
                </anchor>
              </controlPr>
            </control>
          </mc:Choice>
        </mc:AlternateContent>
        <mc:AlternateContent xmlns:mc="http://schemas.openxmlformats.org/markup-compatibility/2006">
          <mc:Choice Requires="x14">
            <control shapeId="1089" r:id="rId7" name="Drop Down 65">
              <controlPr locked="0" defaultSize="0" autoLine="0" autoPict="0">
                <anchor moveWithCells="1" sizeWithCells="1">
                  <from>
                    <xdr:col>7</xdr:col>
                    <xdr:colOff>171450</xdr:colOff>
                    <xdr:row>15</xdr:row>
                    <xdr:rowOff>0</xdr:rowOff>
                  </from>
                  <to>
                    <xdr:col>15</xdr:col>
                    <xdr:colOff>180975</xdr:colOff>
                    <xdr:row>16</xdr:row>
                    <xdr:rowOff>0</xdr:rowOff>
                  </to>
                </anchor>
              </controlPr>
            </control>
          </mc:Choice>
        </mc:AlternateContent>
        <mc:AlternateContent xmlns:mc="http://schemas.openxmlformats.org/markup-compatibility/2006">
          <mc:Choice Requires="x14">
            <control shapeId="1090" r:id="rId8" name="Drop Down 66">
              <controlPr locked="0" defaultSize="0" autoLine="0" autoPict="0">
                <anchor moveWithCells="1" sizeWithCells="1">
                  <from>
                    <xdr:col>7</xdr:col>
                    <xdr:colOff>171450</xdr:colOff>
                    <xdr:row>17</xdr:row>
                    <xdr:rowOff>0</xdr:rowOff>
                  </from>
                  <to>
                    <xdr:col>15</xdr:col>
                    <xdr:colOff>180975</xdr:colOff>
                    <xdr:row>18</xdr:row>
                    <xdr:rowOff>0</xdr:rowOff>
                  </to>
                </anchor>
              </controlPr>
            </control>
          </mc:Choice>
        </mc:AlternateContent>
        <mc:AlternateContent xmlns:mc="http://schemas.openxmlformats.org/markup-compatibility/2006">
          <mc:Choice Requires="x14">
            <control shapeId="1091" r:id="rId9" name="Drop Down 67">
              <controlPr locked="0" defaultSize="0" autoLine="0" autoPict="0">
                <anchor moveWithCells="1" sizeWithCells="1">
                  <from>
                    <xdr:col>7</xdr:col>
                    <xdr:colOff>171450</xdr:colOff>
                    <xdr:row>19</xdr:row>
                    <xdr:rowOff>0</xdr:rowOff>
                  </from>
                  <to>
                    <xdr:col>15</xdr:col>
                    <xdr:colOff>180975</xdr:colOff>
                    <xdr:row>20</xdr:row>
                    <xdr:rowOff>0</xdr:rowOff>
                  </to>
                </anchor>
              </controlPr>
            </control>
          </mc:Choice>
        </mc:AlternateContent>
        <mc:AlternateContent xmlns:mc="http://schemas.openxmlformats.org/markup-compatibility/2006">
          <mc:Choice Requires="x14">
            <control shapeId="1095" r:id="rId10" name="Check Box 71">
              <controlPr defaultSize="0" autoFill="0" autoLine="0" autoPict="0">
                <anchor moveWithCells="1">
                  <from>
                    <xdr:col>37</xdr:col>
                    <xdr:colOff>152400</xdr:colOff>
                    <xdr:row>9</xdr:row>
                    <xdr:rowOff>9525</xdr:rowOff>
                  </from>
                  <to>
                    <xdr:col>39</xdr:col>
                    <xdr:colOff>57150</xdr:colOff>
                    <xdr:row>9</xdr:row>
                    <xdr:rowOff>228600</xdr:rowOff>
                  </to>
                </anchor>
              </controlPr>
            </control>
          </mc:Choice>
        </mc:AlternateContent>
        <mc:AlternateContent xmlns:mc="http://schemas.openxmlformats.org/markup-compatibility/2006">
          <mc:Choice Requires="x14">
            <control shapeId="1096" r:id="rId11" name="Check Box 72">
              <controlPr defaultSize="0" autoFill="0" autoLine="0" autoPict="0">
                <anchor moveWithCells="1">
                  <from>
                    <xdr:col>37</xdr:col>
                    <xdr:colOff>152400</xdr:colOff>
                    <xdr:row>13</xdr:row>
                    <xdr:rowOff>19050</xdr:rowOff>
                  </from>
                  <to>
                    <xdr:col>39</xdr:col>
                    <xdr:colOff>57150</xdr:colOff>
                    <xdr:row>13</xdr:row>
                    <xdr:rowOff>238125</xdr:rowOff>
                  </to>
                </anchor>
              </controlPr>
            </control>
          </mc:Choice>
        </mc:AlternateContent>
        <mc:AlternateContent xmlns:mc="http://schemas.openxmlformats.org/markup-compatibility/2006">
          <mc:Choice Requires="x14">
            <control shapeId="1097" r:id="rId12" name="Check Box 73">
              <controlPr defaultSize="0" autoFill="0" autoLine="0" autoPict="0">
                <anchor moveWithCells="1">
                  <from>
                    <xdr:col>37</xdr:col>
                    <xdr:colOff>152400</xdr:colOff>
                    <xdr:row>11</xdr:row>
                    <xdr:rowOff>19050</xdr:rowOff>
                  </from>
                  <to>
                    <xdr:col>39</xdr:col>
                    <xdr:colOff>57150</xdr:colOff>
                    <xdr:row>11</xdr:row>
                    <xdr:rowOff>238125</xdr:rowOff>
                  </to>
                </anchor>
              </controlPr>
            </control>
          </mc:Choice>
        </mc:AlternateContent>
        <mc:AlternateContent xmlns:mc="http://schemas.openxmlformats.org/markup-compatibility/2006">
          <mc:Choice Requires="x14">
            <control shapeId="1098" r:id="rId13" name="Check Box 74">
              <controlPr defaultSize="0" autoFill="0" autoLine="0" autoPict="0">
                <anchor moveWithCells="1">
                  <from>
                    <xdr:col>37</xdr:col>
                    <xdr:colOff>152400</xdr:colOff>
                    <xdr:row>19</xdr:row>
                    <xdr:rowOff>9525</xdr:rowOff>
                  </from>
                  <to>
                    <xdr:col>39</xdr:col>
                    <xdr:colOff>57150</xdr:colOff>
                    <xdr:row>19</xdr:row>
                    <xdr:rowOff>228600</xdr:rowOff>
                  </to>
                </anchor>
              </controlPr>
            </control>
          </mc:Choice>
        </mc:AlternateContent>
        <mc:AlternateContent xmlns:mc="http://schemas.openxmlformats.org/markup-compatibility/2006">
          <mc:Choice Requires="x14">
            <control shapeId="1099" r:id="rId14" name="Check Box 75">
              <controlPr defaultSize="0" autoFill="0" autoLine="0" autoPict="0">
                <anchor moveWithCells="1">
                  <from>
                    <xdr:col>37</xdr:col>
                    <xdr:colOff>152400</xdr:colOff>
                    <xdr:row>17</xdr:row>
                    <xdr:rowOff>9525</xdr:rowOff>
                  </from>
                  <to>
                    <xdr:col>39</xdr:col>
                    <xdr:colOff>57150</xdr:colOff>
                    <xdr:row>17</xdr:row>
                    <xdr:rowOff>228600</xdr:rowOff>
                  </to>
                </anchor>
              </controlPr>
            </control>
          </mc:Choice>
        </mc:AlternateContent>
        <mc:AlternateContent xmlns:mc="http://schemas.openxmlformats.org/markup-compatibility/2006">
          <mc:Choice Requires="x14">
            <control shapeId="1100" r:id="rId15" name="Check Box 76">
              <controlPr defaultSize="0" autoFill="0" autoLine="0" autoPict="0">
                <anchor moveWithCells="1">
                  <from>
                    <xdr:col>37</xdr:col>
                    <xdr:colOff>152400</xdr:colOff>
                    <xdr:row>15</xdr:row>
                    <xdr:rowOff>19050</xdr:rowOff>
                  </from>
                  <to>
                    <xdr:col>39</xdr:col>
                    <xdr:colOff>57150</xdr:colOff>
                    <xdr:row>15</xdr:row>
                    <xdr:rowOff>238125</xdr:rowOff>
                  </to>
                </anchor>
              </controlPr>
            </control>
          </mc:Choice>
        </mc:AlternateContent>
        <mc:AlternateContent xmlns:mc="http://schemas.openxmlformats.org/markup-compatibility/2006">
          <mc:Choice Requires="x14">
            <control shapeId="1102" r:id="rId16" name="Drop Down 78">
              <controlPr locked="0" defaultSize="0" autoLine="0" autoPict="0">
                <anchor moveWithCells="1" sizeWithCells="1">
                  <from>
                    <xdr:col>3</xdr:col>
                    <xdr:colOff>180975</xdr:colOff>
                    <xdr:row>9</xdr:row>
                    <xdr:rowOff>9525</xdr:rowOff>
                  </from>
                  <to>
                    <xdr:col>7</xdr:col>
                    <xdr:colOff>142875</xdr:colOff>
                    <xdr:row>9</xdr:row>
                    <xdr:rowOff>228600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pageSetUpPr fitToPage="1"/>
  </sheetPr>
  <dimension ref="B1:AK73"/>
  <sheetViews>
    <sheetView showGridLines="0" view="pageBreakPreview" zoomScale="75" zoomScaleNormal="100" zoomScaleSheetLayoutView="75" workbookViewId="0">
      <selection activeCell="M8" sqref="M8:M13"/>
    </sheetView>
  </sheetViews>
  <sheetFormatPr defaultColWidth="2.625" defaultRowHeight="20.100000000000001" customHeight="1"/>
  <cols>
    <col min="1" max="2" width="1.125" style="1" customWidth="1"/>
    <col min="3" max="3" width="11.125" style="1" customWidth="1"/>
    <col min="4" max="4" width="9.25" style="34" customWidth="1"/>
    <col min="5" max="5" width="16.75" style="1" customWidth="1"/>
    <col min="6" max="6" width="4.625" style="34" customWidth="1"/>
    <col min="7" max="7" width="13.375" style="1" customWidth="1"/>
    <col min="8" max="8" width="3.625" style="34" customWidth="1"/>
    <col min="9" max="9" width="16.625" style="1" customWidth="1"/>
    <col min="10" max="10" width="4.625" style="1" customWidth="1"/>
    <col min="11" max="11" width="16.625" style="1" customWidth="1"/>
    <col min="12" max="12" width="3.5" style="1" customWidth="1"/>
    <col min="13" max="13" width="12.625" style="1" customWidth="1"/>
    <col min="14" max="15" width="2.625" style="1" customWidth="1"/>
    <col min="16" max="16" width="16.125" style="1" customWidth="1"/>
    <col min="17" max="17" width="2.375" style="1" customWidth="1"/>
    <col min="18" max="18" width="4.625" style="1" bestFit="1" customWidth="1"/>
    <col min="19" max="16384" width="2.625" style="1"/>
  </cols>
  <sheetData>
    <row r="1" spans="2:20" ht="10.5" customHeight="1"/>
    <row r="2" spans="2:20" ht="20.100000000000001" customHeight="1">
      <c r="B2" s="5"/>
      <c r="C2" s="5"/>
      <c r="D2" s="35"/>
      <c r="E2" s="5"/>
      <c r="F2" s="35"/>
      <c r="G2" s="5"/>
      <c r="H2" s="35"/>
      <c r="I2" s="5"/>
      <c r="J2" s="5"/>
      <c r="K2" s="5"/>
      <c r="L2" s="5"/>
      <c r="M2" s="5"/>
      <c r="N2" s="5"/>
      <c r="O2" s="5"/>
      <c r="P2" s="5"/>
      <c r="Q2" s="5"/>
      <c r="R2" s="5"/>
      <c r="S2" s="5"/>
      <c r="T2" s="5"/>
    </row>
    <row r="3" spans="2:20" ht="20.100000000000001" customHeight="1">
      <c r="B3" s="5"/>
      <c r="C3" s="5"/>
      <c r="D3" s="35"/>
      <c r="E3" s="5"/>
      <c r="F3" s="35"/>
      <c r="G3" s="5"/>
      <c r="H3" s="35"/>
      <c r="I3" s="5"/>
      <c r="J3" s="5"/>
      <c r="K3" s="5"/>
      <c r="L3" s="5"/>
      <c r="M3" s="5"/>
      <c r="N3" s="5"/>
      <c r="O3" s="5"/>
      <c r="P3" s="5"/>
      <c r="Q3" s="5"/>
      <c r="R3" s="5"/>
      <c r="S3" s="5"/>
      <c r="T3" s="5"/>
    </row>
    <row r="4" spans="2:20" ht="24.95" customHeight="1">
      <c r="B4" s="5"/>
      <c r="C4" s="5"/>
      <c r="D4" s="35"/>
      <c r="E4" s="5"/>
      <c r="F4" s="35"/>
      <c r="G4" s="5"/>
      <c r="H4" s="35"/>
      <c r="I4" s="5"/>
      <c r="J4" s="5"/>
      <c r="K4" s="5"/>
      <c r="L4" s="5"/>
      <c r="M4" s="5"/>
      <c r="N4" s="5"/>
      <c r="O4" s="5"/>
      <c r="P4" s="5"/>
      <c r="Q4" s="5"/>
      <c r="R4" s="5"/>
      <c r="S4" s="5"/>
      <c r="T4" s="5"/>
    </row>
    <row r="5" spans="2:20" ht="20.100000000000001" customHeight="1">
      <c r="B5" s="10"/>
      <c r="C5" s="5"/>
      <c r="D5" s="35"/>
      <c r="E5" s="5"/>
      <c r="F5" s="35"/>
      <c r="G5" s="36" t="str">
        <f>IF(AND(G8="",G9="",G10="",G11="",G12="",G13=""),"",IF(OR(G8&lt;430000,G9&lt;430000,G10&lt;430000,G11&lt;430000,G12&lt;430000,G13&lt;430000),"※総所得金額が43万円未満の方の基礎控除額は、総所得金額と同額となります。",""))</f>
        <v/>
      </c>
      <c r="H5" s="35"/>
      <c r="I5" s="5"/>
      <c r="J5" s="5"/>
      <c r="K5" s="5"/>
      <c r="L5" s="5"/>
      <c r="M5" s="5"/>
      <c r="N5" s="5"/>
      <c r="O5" s="5"/>
      <c r="P5" s="5"/>
      <c r="Q5" s="5"/>
      <c r="R5" s="5"/>
      <c r="S5" s="5"/>
      <c r="T5" s="5"/>
    </row>
    <row r="6" spans="2:20" ht="23.1" customHeight="1">
      <c r="B6" s="5"/>
      <c r="C6" s="497" t="s">
        <v>54</v>
      </c>
      <c r="D6" s="200"/>
      <c r="E6" s="474" t="s">
        <v>32</v>
      </c>
      <c r="F6" s="474"/>
      <c r="G6" s="460" t="s">
        <v>125</v>
      </c>
      <c r="H6" s="479"/>
      <c r="I6" s="460" t="s">
        <v>56</v>
      </c>
      <c r="J6" s="477"/>
      <c r="K6" s="460" t="s">
        <v>13</v>
      </c>
      <c r="L6" s="458"/>
      <c r="M6" s="458" t="s">
        <v>59</v>
      </c>
      <c r="N6" s="37"/>
      <c r="O6" s="37"/>
      <c r="P6" s="37"/>
      <c r="Q6" s="37"/>
      <c r="R6" s="37"/>
      <c r="S6" s="38"/>
      <c r="T6" s="5"/>
    </row>
    <row r="7" spans="2:20" ht="23.1" customHeight="1">
      <c r="B7" s="5"/>
      <c r="C7" s="498"/>
      <c r="D7" s="201"/>
      <c r="E7" s="475"/>
      <c r="F7" s="475"/>
      <c r="G7" s="478"/>
      <c r="H7" s="480"/>
      <c r="I7" s="461"/>
      <c r="J7" s="478"/>
      <c r="K7" s="461"/>
      <c r="L7" s="459"/>
      <c r="M7" s="483"/>
      <c r="N7" s="5"/>
      <c r="O7" s="5"/>
      <c r="P7" s="5"/>
      <c r="Q7" s="5"/>
      <c r="R7" s="5"/>
      <c r="S7" s="39"/>
      <c r="T7" s="5"/>
    </row>
    <row r="8" spans="2:20" ht="23.1" customHeight="1">
      <c r="B8" s="5"/>
      <c r="C8" s="498"/>
      <c r="D8" s="202" t="str">
        <f>IF(★計算基準!D18=0,"","世帯主")</f>
        <v>世帯主</v>
      </c>
      <c r="E8" s="41" t="str">
        <f>IF(★計算基準!J18=0,"",IF(★計算基準!D18=0,"",★計算基準!J18))</f>
        <v/>
      </c>
      <c r="F8" s="42" t="str">
        <f>IF(E8="","","－")</f>
        <v/>
      </c>
      <c r="G8" s="43" t="str">
        <f>IF(E8="","",IF(E8&lt;=★計算基準!G12,E8,430000))</f>
        <v/>
      </c>
      <c r="H8" s="40" t="str">
        <f>IF(E8="","","＝")</f>
        <v/>
      </c>
      <c r="I8" s="43" t="str">
        <f>IF(E8="","",IF(E8=0,"",E8-G8))</f>
        <v/>
      </c>
      <c r="J8" s="40"/>
      <c r="K8" s="44"/>
      <c r="L8" s="45"/>
      <c r="M8" s="491">
        <f>★計算基準!C12</f>
        <v>5.96E-2</v>
      </c>
      <c r="N8" s="46"/>
      <c r="O8" s="5"/>
      <c r="P8" s="5"/>
      <c r="Q8" s="5"/>
      <c r="R8" s="5"/>
      <c r="S8" s="39"/>
      <c r="T8" s="5"/>
    </row>
    <row r="9" spans="2:20" ht="23.1" customHeight="1">
      <c r="B9" s="5"/>
      <c r="C9" s="498"/>
      <c r="D9" s="203" t="str">
        <f>IF(★計算基準!D19=0,"","加入者1")</f>
        <v/>
      </c>
      <c r="E9" s="48" t="str">
        <f>IF(★計算基準!J19=0,"",★計算基準!J19)</f>
        <v/>
      </c>
      <c r="F9" s="49" t="str">
        <f>IF(E9="","","－")</f>
        <v/>
      </c>
      <c r="G9" s="50" t="str">
        <f>IF(E9="","",IF(E9&lt;=★計算基準!G12,E9,430000))</f>
        <v/>
      </c>
      <c r="H9" s="47" t="str">
        <f t="shared" ref="H9:H13" si="0">IF(E9="","","＝")</f>
        <v/>
      </c>
      <c r="I9" s="50" t="str">
        <f t="shared" ref="I9:I13" si="1">IF(E9="","",IF(E9=0,"",E9-G9))</f>
        <v/>
      </c>
      <c r="J9" s="47"/>
      <c r="K9" s="51"/>
      <c r="L9" s="47"/>
      <c r="M9" s="452"/>
      <c r="N9" s="52"/>
      <c r="O9" s="5"/>
      <c r="P9" s="5"/>
      <c r="Q9" s="5"/>
      <c r="R9" s="5"/>
      <c r="S9" s="39"/>
      <c r="T9" s="5"/>
    </row>
    <row r="10" spans="2:20" ht="23.1" customHeight="1">
      <c r="B10" s="5"/>
      <c r="C10" s="498"/>
      <c r="D10" s="204" t="str">
        <f>IF(★計算基準!D20=0,"","加入者2")</f>
        <v/>
      </c>
      <c r="E10" s="54" t="str">
        <f>IF(★計算基準!J20=0,"",★計算基準!J20)</f>
        <v/>
      </c>
      <c r="F10" s="55" t="str">
        <f t="shared" ref="F10:F13" si="2">IF(E10="","","－")</f>
        <v/>
      </c>
      <c r="G10" s="56" t="str">
        <f>IF(E10="","",IF(E10&lt;=★計算基準!G12,E10,430000))</f>
        <v/>
      </c>
      <c r="H10" s="53" t="str">
        <f t="shared" si="0"/>
        <v/>
      </c>
      <c r="I10" s="56" t="str">
        <f t="shared" si="1"/>
        <v/>
      </c>
      <c r="J10" s="57"/>
      <c r="K10" s="492">
        <f>SUM(I8:I13)</f>
        <v>0</v>
      </c>
      <c r="L10" s="58"/>
      <c r="M10" s="452"/>
      <c r="N10" s="59"/>
      <c r="O10" s="5"/>
      <c r="P10" s="450">
        <f>ROUNDDOWN(K10*M8,0)</f>
        <v>0</v>
      </c>
      <c r="Q10" s="269"/>
      <c r="R10" s="435" t="s">
        <v>130</v>
      </c>
      <c r="S10" s="39"/>
      <c r="T10" s="5"/>
    </row>
    <row r="11" spans="2:20" ht="23.1" customHeight="1">
      <c r="B11" s="5"/>
      <c r="C11" s="498"/>
      <c r="D11" s="205" t="str">
        <f>IF(★計算基準!D21=0,"","加入者3")</f>
        <v/>
      </c>
      <c r="E11" s="60" t="str">
        <f>IF(★計算基準!J21=0,"",★計算基準!J21)</f>
        <v/>
      </c>
      <c r="F11" s="11" t="str">
        <f t="shared" si="2"/>
        <v/>
      </c>
      <c r="G11" s="61" t="str">
        <f>IF(E11="","",IF(E11&lt;=★計算基準!G12,E11,430000))</f>
        <v/>
      </c>
      <c r="H11" s="293" t="str">
        <f t="shared" si="0"/>
        <v/>
      </c>
      <c r="I11" s="61" t="str">
        <f t="shared" si="1"/>
        <v/>
      </c>
      <c r="J11" s="293"/>
      <c r="K11" s="493"/>
      <c r="L11" s="62"/>
      <c r="M11" s="452"/>
      <c r="N11" s="63"/>
      <c r="O11" s="5"/>
      <c r="P11" s="450"/>
      <c r="Q11" s="269"/>
      <c r="R11" s="467"/>
      <c r="S11" s="39"/>
      <c r="T11" s="5"/>
    </row>
    <row r="12" spans="2:20" ht="23.1" customHeight="1">
      <c r="B12" s="5"/>
      <c r="C12" s="498"/>
      <c r="D12" s="204" t="str">
        <f>IF(★計算基準!D22=0,"","加入者4")</f>
        <v/>
      </c>
      <c r="E12" s="54" t="str">
        <f>IF(★計算基準!J22=0,"",★計算基準!J22)</f>
        <v/>
      </c>
      <c r="F12" s="55" t="str">
        <f t="shared" si="2"/>
        <v/>
      </c>
      <c r="G12" s="56" t="str">
        <f>IF(E12="","",IF(E12&lt;=★計算基準!G12,E12,430000))</f>
        <v/>
      </c>
      <c r="H12" s="53" t="str">
        <f t="shared" si="0"/>
        <v/>
      </c>
      <c r="I12" s="56" t="str">
        <f t="shared" si="1"/>
        <v/>
      </c>
      <c r="J12" s="53"/>
      <c r="K12" s="64"/>
      <c r="L12" s="40"/>
      <c r="M12" s="452"/>
      <c r="N12" s="65"/>
      <c r="O12" s="5"/>
      <c r="P12" s="5"/>
      <c r="Q12" s="5"/>
      <c r="R12" s="5"/>
      <c r="S12" s="39"/>
      <c r="T12" s="5"/>
    </row>
    <row r="13" spans="2:20" ht="23.1" customHeight="1">
      <c r="B13" s="5"/>
      <c r="C13" s="498"/>
      <c r="D13" s="314" t="str">
        <f>IF(★計算基準!D23=0,"","加入者5")</f>
        <v/>
      </c>
      <c r="E13" s="315" t="str">
        <f>IF(★計算基準!J23=0,"",★計算基準!J23)</f>
        <v/>
      </c>
      <c r="F13" s="316" t="str">
        <f t="shared" si="2"/>
        <v/>
      </c>
      <c r="G13" s="317" t="str">
        <f>IF(E13="","",IF(E13&lt;=★計算基準!G12,E13,430000))</f>
        <v/>
      </c>
      <c r="H13" s="318" t="str">
        <f t="shared" si="0"/>
        <v/>
      </c>
      <c r="I13" s="317" t="str">
        <f t="shared" si="1"/>
        <v/>
      </c>
      <c r="J13" s="318"/>
      <c r="K13" s="51"/>
      <c r="L13" s="318"/>
      <c r="M13" s="453"/>
      <c r="N13" s="319"/>
      <c r="O13" s="5"/>
      <c r="P13" s="5"/>
      <c r="Q13" s="5"/>
      <c r="R13" s="5"/>
      <c r="S13" s="39"/>
      <c r="T13" s="5"/>
    </row>
    <row r="14" spans="2:20" ht="5.0999999999999996" customHeight="1">
      <c r="B14" s="5"/>
      <c r="C14" s="499"/>
      <c r="D14" s="201"/>
      <c r="E14" s="79"/>
      <c r="F14" s="293"/>
      <c r="G14" s="5"/>
      <c r="H14" s="293"/>
      <c r="I14" s="80"/>
      <c r="J14" s="5"/>
      <c r="K14" s="293"/>
      <c r="L14" s="5"/>
      <c r="M14" s="5"/>
      <c r="N14" s="5"/>
      <c r="O14" s="5"/>
      <c r="P14" s="5"/>
      <c r="Q14" s="5"/>
      <c r="R14" s="5"/>
      <c r="S14" s="39"/>
      <c r="T14" s="5"/>
    </row>
    <row r="15" spans="2:20" ht="5.0999999999999996" customHeight="1">
      <c r="B15" s="5"/>
      <c r="C15" s="307"/>
      <c r="D15" s="308"/>
      <c r="E15" s="309"/>
      <c r="F15" s="310"/>
      <c r="G15" s="311"/>
      <c r="H15" s="310"/>
      <c r="I15" s="312"/>
      <c r="J15" s="311"/>
      <c r="K15" s="310"/>
      <c r="L15" s="311"/>
      <c r="M15" s="311"/>
      <c r="N15" s="311"/>
      <c r="O15" s="311"/>
      <c r="P15" s="311"/>
      <c r="Q15" s="311"/>
      <c r="R15" s="311"/>
      <c r="S15" s="313"/>
      <c r="T15" s="5"/>
    </row>
    <row r="16" spans="2:20" ht="23.1" customHeight="1">
      <c r="B16" s="5"/>
      <c r="C16" s="502" t="s">
        <v>55</v>
      </c>
      <c r="D16" s="301"/>
      <c r="E16" s="302"/>
      <c r="F16" s="303"/>
      <c r="G16" s="304" t="s">
        <v>42</v>
      </c>
      <c r="H16" s="303"/>
      <c r="I16" s="305">
        <f>★計算基準!D12</f>
        <v>19980</v>
      </c>
      <c r="J16" s="303" t="s">
        <v>58</v>
      </c>
      <c r="K16" s="306">
        <f>★計算基準!C36</f>
        <v>1</v>
      </c>
      <c r="L16" s="303" t="s">
        <v>57</v>
      </c>
      <c r="M16" s="494">
        <f>I16*K16</f>
        <v>19980</v>
      </c>
      <c r="N16" s="494"/>
      <c r="O16" s="5"/>
      <c r="P16" s="292"/>
      <c r="Q16" s="291"/>
      <c r="R16" s="291"/>
      <c r="S16" s="93"/>
      <c r="T16" s="5"/>
    </row>
    <row r="17" spans="2:37" ht="23.1" customHeight="1">
      <c r="B17" s="5"/>
      <c r="C17" s="502"/>
      <c r="D17" s="243"/>
      <c r="E17" s="244"/>
      <c r="F17" s="245" t="str">
        <f>IF(★計算基準!C36=0,"",IF(VLOOKUP("○",★計算基準!G46:J49,4,FALSE)=0,"","減額："))</f>
        <v>減額：</v>
      </c>
      <c r="G17" s="272" t="str">
        <f>IF(★計算基準!C36=0,"",IF(VLOOKUP("○",★計算基準!G46:J49,4,FALSE)=0,"",VLOOKUP("○",★計算基準!G46:J49,4,FALSE)))</f>
        <v>7割</v>
      </c>
      <c r="H17" s="40"/>
      <c r="I17" s="273">
        <f>IF(★計算基準!C36=0,"",IF(VLOOKUP("○",★計算基準!G46:J49,4,FALSE)=0,"",0-★計算基準!B33/K16))</f>
        <v>-13986</v>
      </c>
      <c r="J17" s="40" t="str">
        <f>IF(★計算基準!C36=0,"",IF(VLOOKUP("○",★計算基準!G46:J49,4,FALSE)=0,"","×"))</f>
        <v>×</v>
      </c>
      <c r="K17" s="246">
        <f>IF(★計算基準!C36=0,"",IF(VLOOKUP("○",★計算基準!G46:J49,4,FALSE)=0,"",★計算基準!C36))</f>
        <v>1</v>
      </c>
      <c r="L17" s="40" t="str">
        <f>IF(★計算基準!C36=0,"",IF(VLOOKUP("○",★計算基準!G46:J49,4,FALSE)=0,"","＝"))</f>
        <v>＝</v>
      </c>
      <c r="M17" s="495">
        <f>IF(★計算基準!C36=0,"",IF(VLOOKUP("○",★計算基準!G46:J49,4,FALSE)=0,"",I17*K17))</f>
        <v>-13986</v>
      </c>
      <c r="N17" s="495"/>
      <c r="O17" s="5"/>
      <c r="P17" s="227">
        <f>IF(AND(M17="",M18=""),M16,IF(M17="",M16+M18,IF(M18="",M16+M17,M16+M17+M18)))</f>
        <v>5994</v>
      </c>
      <c r="Q17" s="226"/>
      <c r="R17" s="277" t="s">
        <v>129</v>
      </c>
      <c r="S17" s="93"/>
      <c r="T17" s="5"/>
    </row>
    <row r="18" spans="2:37" ht="23.1" customHeight="1">
      <c r="B18" s="5"/>
      <c r="C18" s="490"/>
      <c r="D18" s="321"/>
      <c r="E18" s="322"/>
      <c r="F18" s="323" t="str">
        <f>IF(★計算基準!H42=0,"","未就学児にかかる減額：")</f>
        <v/>
      </c>
      <c r="G18" s="324" t="str">
        <f>IF(★計算基準!H42=0,"","1人につき")</f>
        <v/>
      </c>
      <c r="H18" s="325"/>
      <c r="I18" s="294" t="str">
        <f>IF(★計算基準!H42=0,"",-★計算基準!I42/★計算基準!H42)</f>
        <v/>
      </c>
      <c r="J18" s="326" t="str">
        <f>IF(★計算基準!H42=0,"","×")</f>
        <v/>
      </c>
      <c r="K18" s="327" t="str">
        <f>IF(★計算基準!H42=0,"",★計算基準!H42)</f>
        <v/>
      </c>
      <c r="L18" s="325" t="str">
        <f>IF(★計算基準!H42=0,"","＝")</f>
        <v/>
      </c>
      <c r="M18" s="454" t="str">
        <f>IF(★計算基準!I42=0,"",-★計算基準!I42)</f>
        <v/>
      </c>
      <c r="N18" s="463" t="str">
        <f>IF(★計算基準!K42=0,"",★計算基準!K42)</f>
        <v/>
      </c>
      <c r="O18" s="5"/>
      <c r="P18" s="298"/>
      <c r="Q18" s="299"/>
      <c r="R18" s="299"/>
      <c r="S18" s="93"/>
      <c r="T18" s="5"/>
      <c r="W18" s="247"/>
    </row>
    <row r="19" spans="2:37" ht="5.0999999999999996" customHeight="1">
      <c r="B19" s="5"/>
      <c r="C19" s="320"/>
      <c r="D19" s="206"/>
      <c r="E19" s="69"/>
      <c r="F19" s="68"/>
      <c r="G19" s="70"/>
      <c r="H19" s="68"/>
      <c r="I19" s="71"/>
      <c r="J19" s="70"/>
      <c r="K19" s="68"/>
      <c r="L19" s="70"/>
      <c r="M19" s="70"/>
      <c r="N19" s="70"/>
      <c r="O19" s="70"/>
      <c r="P19" s="70"/>
      <c r="Q19" s="70"/>
      <c r="R19" s="70"/>
      <c r="S19" s="72"/>
      <c r="T19" s="5"/>
    </row>
    <row r="20" spans="2:37" ht="5.0999999999999996" customHeight="1">
      <c r="B20" s="5"/>
      <c r="C20" s="297"/>
      <c r="D20" s="201"/>
      <c r="E20" s="79"/>
      <c r="F20" s="293"/>
      <c r="G20" s="5"/>
      <c r="H20" s="293"/>
      <c r="I20" s="80"/>
      <c r="J20" s="5"/>
      <c r="K20" s="293"/>
      <c r="L20" s="5"/>
      <c r="M20" s="5"/>
      <c r="N20" s="5"/>
      <c r="O20" s="5"/>
      <c r="P20" s="5"/>
      <c r="Q20" s="5"/>
      <c r="R20" s="5"/>
      <c r="S20" s="39"/>
      <c r="T20" s="5"/>
    </row>
    <row r="21" spans="2:37" ht="23.1" customHeight="1">
      <c r="B21" s="5"/>
      <c r="C21" s="500" t="s">
        <v>152</v>
      </c>
      <c r="D21" s="301"/>
      <c r="E21" s="302"/>
      <c r="F21" s="303"/>
      <c r="G21" s="328" t="s">
        <v>43</v>
      </c>
      <c r="H21" s="329"/>
      <c r="I21" s="330">
        <f>★計算基準!E12</f>
        <v>18863</v>
      </c>
      <c r="J21" s="331"/>
      <c r="K21" s="332"/>
      <c r="L21" s="331"/>
      <c r="M21" s="455">
        <f>IF(★計算基準!C36=0,"",★計算基準!E12)</f>
        <v>18863</v>
      </c>
      <c r="N21" s="455"/>
      <c r="O21" s="5"/>
      <c r="P21" s="450">
        <f>IF(AND(M21="",M22=""),0,IF(M22="",M21,M21+M22))</f>
        <v>5658</v>
      </c>
      <c r="Q21" s="291"/>
      <c r="R21" s="435" t="s">
        <v>128</v>
      </c>
      <c r="S21" s="93"/>
      <c r="T21" s="5"/>
    </row>
    <row r="22" spans="2:37" ht="22.5" customHeight="1">
      <c r="B22" s="5"/>
      <c r="C22" s="501"/>
      <c r="D22" s="243"/>
      <c r="E22" s="244"/>
      <c r="F22" s="245" t="str">
        <f>IF(★計算基準!C36=0,"",IF(VLOOKUP("○",★計算基準!G46:J49,4,FALSE)=0,"","減額："))</f>
        <v>減額：</v>
      </c>
      <c r="G22" s="272" t="str">
        <f>IF(★計算基準!C36=0,"",IF(VLOOKUP("○",★計算基準!G46:J49,4,FALSE)=0,"",VLOOKUP("○",★計算基準!G46:J49,4,FALSE)))</f>
        <v>7割</v>
      </c>
      <c r="H22" s="40"/>
      <c r="I22" s="43">
        <f>IF(★計算基準!C36=0,"",IF(VLOOKUP("○",★計算基準!G46:J49,4,FALSE)=0,"",0-★計算基準!C33))</f>
        <v>-13205</v>
      </c>
      <c r="J22" s="73"/>
      <c r="K22" s="300"/>
      <c r="L22" s="73"/>
      <c r="M22" s="454">
        <f>IF(★計算基準!C36=0,"",IF(VLOOKUP("○",★計算基準!G46:J49,4,FALSE)=0,"",0-★計算基準!C33))</f>
        <v>-13205</v>
      </c>
      <c r="N22" s="454"/>
      <c r="O22" s="5"/>
      <c r="P22" s="450"/>
      <c r="Q22" s="291"/>
      <c r="R22" s="436"/>
      <c r="S22" s="93"/>
      <c r="T22" s="5"/>
    </row>
    <row r="23" spans="2:37" ht="5.0999999999999996" customHeight="1" thickBot="1">
      <c r="B23" s="5"/>
      <c r="C23" s="333"/>
      <c r="D23" s="334"/>
      <c r="E23" s="335"/>
      <c r="F23" s="336"/>
      <c r="G23" s="337"/>
      <c r="H23" s="336"/>
      <c r="I23" s="338"/>
      <c r="J23" s="337"/>
      <c r="K23" s="336"/>
      <c r="L23" s="337"/>
      <c r="M23" s="337"/>
      <c r="N23" s="337"/>
      <c r="O23" s="337"/>
      <c r="P23" s="337"/>
      <c r="Q23" s="337"/>
      <c r="R23" s="337"/>
      <c r="S23" s="339"/>
      <c r="T23" s="5"/>
    </row>
    <row r="24" spans="2:37" ht="33" customHeight="1" thickTop="1" thickBot="1">
      <c r="B24" s="5"/>
      <c r="C24" s="194" t="str">
        <f>IF(★計算基準!I33=0,"","   多子世帯減免額")</f>
        <v/>
      </c>
      <c r="D24" s="195"/>
      <c r="E24" s="199"/>
      <c r="F24" s="196"/>
      <c r="G24" s="189"/>
      <c r="H24" s="190"/>
      <c r="I24" s="279"/>
      <c r="J24" s="278"/>
      <c r="K24" s="457">
        <f>★計算基準!$R$35</f>
        <v>0</v>
      </c>
      <c r="L24" s="496"/>
      <c r="M24" s="191"/>
      <c r="N24" s="189"/>
      <c r="O24" s="189"/>
      <c r="P24" s="189"/>
      <c r="Q24" s="215"/>
      <c r="R24" s="192" t="str">
        <f>IF(C24="","","　… (エ)")</f>
        <v/>
      </c>
      <c r="S24" s="186"/>
      <c r="T24" s="5"/>
      <c r="Y24" s="281" t="s">
        <v>132</v>
      </c>
      <c r="Z24" s="5"/>
      <c r="AA24" s="5"/>
      <c r="AB24" s="5"/>
      <c r="AC24" s="5"/>
      <c r="AD24" s="5"/>
      <c r="AE24" s="5"/>
      <c r="AF24" s="5"/>
      <c r="AG24" s="5"/>
      <c r="AH24" s="5"/>
      <c r="AI24" s="5"/>
      <c r="AJ24" s="5"/>
      <c r="AK24" s="5"/>
    </row>
    <row r="25" spans="2:37" ht="33" customHeight="1" thickTop="1" thickBot="1">
      <c r="B25" s="5"/>
      <c r="C25" s="284" t="s">
        <v>136</v>
      </c>
      <c r="D25" s="287" t="str">
        <f>IF(C24="",Y24,Y25)</f>
        <v xml:space="preserve"> (ア)＋(イ)＋(ウ)</v>
      </c>
      <c r="E25" s="197"/>
      <c r="F25" s="196" t="str">
        <f>" 賦課限度額 "&amp;TEXT(★計算基準!F12/10000,"（#,##0万円）")</f>
        <v xml:space="preserve"> 賦課限度額 (66万円)</v>
      </c>
      <c r="G25" s="189"/>
      <c r="H25" s="190"/>
      <c r="I25" s="457">
        <f>IF(ROUNDDOWN(SUM(P10:P22)-MAX(K24,0),-2)&gt;=★計算基準!F12,★計算基準!F12,ROUNDDOWN(SUM(P10:P22)-MAX(K24,0),-2))</f>
        <v>11600</v>
      </c>
      <c r="J25" s="457"/>
      <c r="K25" s="457"/>
      <c r="L25" s="457"/>
      <c r="M25" s="191" t="s">
        <v>52</v>
      </c>
      <c r="N25" s="189"/>
      <c r="O25" s="189"/>
      <c r="P25" s="189"/>
      <c r="Q25" s="215"/>
      <c r="R25" s="192" t="s">
        <v>140</v>
      </c>
      <c r="S25" s="186"/>
      <c r="T25" s="5"/>
      <c r="Y25" s="281" t="s">
        <v>133</v>
      </c>
      <c r="Z25" s="5"/>
      <c r="AA25" s="5"/>
      <c r="AB25" s="5"/>
      <c r="AC25" s="5"/>
      <c r="AD25" s="5"/>
      <c r="AE25" s="5"/>
      <c r="AF25" s="5"/>
      <c r="AG25" s="5"/>
      <c r="AH25" s="5"/>
      <c r="AI25" s="5"/>
      <c r="AJ25" s="5"/>
      <c r="AK25" s="5"/>
    </row>
    <row r="26" spans="2:37" ht="24.95" customHeight="1" thickTop="1">
      <c r="B26" s="5"/>
      <c r="C26" s="5"/>
      <c r="D26" s="35"/>
      <c r="E26" s="5"/>
      <c r="F26" s="35"/>
      <c r="G26" s="5"/>
      <c r="H26" s="35"/>
      <c r="I26" s="5"/>
      <c r="J26" s="5"/>
      <c r="K26" s="5"/>
      <c r="L26" s="5"/>
      <c r="M26" s="5"/>
      <c r="N26" s="5"/>
      <c r="O26" s="5"/>
      <c r="P26" s="5"/>
      <c r="Q26" s="5"/>
      <c r="R26" s="5"/>
      <c r="S26" s="5"/>
      <c r="T26" s="5"/>
    </row>
    <row r="27" spans="2:37" ht="20.100000000000001" customHeight="1">
      <c r="B27" s="10"/>
      <c r="C27" s="5"/>
      <c r="D27" s="35"/>
      <c r="E27" s="5"/>
      <c r="F27" s="35"/>
      <c r="G27" s="36" t="str">
        <f>IF(AND(G30="",G31="",G32="",G33="",G34="",G35=""),"",IF(OR(G30&lt;430000,G31&lt;430000,G32&lt;430000,G33&lt;430000,G34&lt;430000,G35&lt;430000),"※総所得金額が43万円未満の方の基礎控除額は、総所得金額と同額となります。",""))</f>
        <v/>
      </c>
      <c r="H27" s="35"/>
      <c r="I27" s="5"/>
      <c r="J27" s="5"/>
      <c r="K27" s="5"/>
      <c r="L27" s="5"/>
      <c r="M27" s="5"/>
      <c r="N27" s="5"/>
      <c r="O27" s="5"/>
      <c r="P27" s="5"/>
      <c r="Q27" s="5"/>
      <c r="R27" s="5"/>
      <c r="S27" s="5"/>
      <c r="T27" s="5"/>
    </row>
    <row r="28" spans="2:37" ht="22.5" customHeight="1">
      <c r="B28" s="5"/>
      <c r="C28" s="486" t="s">
        <v>54</v>
      </c>
      <c r="D28" s="200"/>
      <c r="E28" s="474" t="s">
        <v>32</v>
      </c>
      <c r="F28" s="474"/>
      <c r="G28" s="460" t="s">
        <v>125</v>
      </c>
      <c r="H28" s="479"/>
      <c r="I28" s="460" t="s">
        <v>56</v>
      </c>
      <c r="J28" s="477"/>
      <c r="K28" s="460" t="s">
        <v>13</v>
      </c>
      <c r="L28" s="458"/>
      <c r="M28" s="458" t="s">
        <v>60</v>
      </c>
      <c r="N28" s="37"/>
      <c r="O28" s="37"/>
      <c r="P28" s="37"/>
      <c r="Q28" s="37"/>
      <c r="R28" s="37"/>
      <c r="S28" s="38"/>
      <c r="T28" s="5"/>
    </row>
    <row r="29" spans="2:37" ht="22.5" customHeight="1">
      <c r="B29" s="5"/>
      <c r="C29" s="487"/>
      <c r="D29" s="201"/>
      <c r="E29" s="475"/>
      <c r="F29" s="475"/>
      <c r="G29" s="478"/>
      <c r="H29" s="480"/>
      <c r="I29" s="461"/>
      <c r="J29" s="478"/>
      <c r="K29" s="461"/>
      <c r="L29" s="459"/>
      <c r="M29" s="459"/>
      <c r="N29" s="5"/>
      <c r="O29" s="5"/>
      <c r="P29" s="5"/>
      <c r="Q29" s="5"/>
      <c r="R29" s="5"/>
      <c r="S29" s="39"/>
      <c r="T29" s="5"/>
    </row>
    <row r="30" spans="2:37" ht="22.5" customHeight="1">
      <c r="B30" s="5"/>
      <c r="C30" s="487"/>
      <c r="D30" s="202" t="str">
        <f>IF(★計算基準!D18=0,"","世帯主")</f>
        <v>世帯主</v>
      </c>
      <c r="E30" s="41" t="str">
        <f>IF(★計算基準!J18=0,"",IF(★計算基準!D18=0,"",★計算基準!J18))</f>
        <v/>
      </c>
      <c r="F30" s="42" t="str">
        <f>IF(E30="","","－")</f>
        <v/>
      </c>
      <c r="G30" s="43" t="str">
        <f>IF(E8="","",IF(E8&lt;=★計算基準!G12,E8,430000))</f>
        <v/>
      </c>
      <c r="H30" s="40" t="str">
        <f t="shared" ref="H30:H35" si="3">IF(E30="","","＝")</f>
        <v/>
      </c>
      <c r="I30" s="43" t="str">
        <f t="shared" ref="I30:I35" si="4">IF(E8="","",IF(E30=0,"",E30-G30))</f>
        <v/>
      </c>
      <c r="J30" s="40"/>
      <c r="K30" s="44"/>
      <c r="L30" s="45"/>
      <c r="M30" s="451">
        <f>★計算基準!C13</f>
        <v>3.2800000000000003E-2</v>
      </c>
      <c r="N30" s="73"/>
      <c r="O30" s="5"/>
      <c r="P30" s="5"/>
      <c r="Q30" s="5"/>
      <c r="R30" s="5"/>
      <c r="S30" s="39"/>
      <c r="T30" s="5"/>
    </row>
    <row r="31" spans="2:37" ht="22.5" customHeight="1">
      <c r="B31" s="5"/>
      <c r="C31" s="487"/>
      <c r="D31" s="203" t="str">
        <f>IF(★計算基準!D19=0,"","加入者1")</f>
        <v/>
      </c>
      <c r="E31" s="74" t="str">
        <f>IF(★計算基準!J19=0,"",★計算基準!J19)</f>
        <v/>
      </c>
      <c r="F31" s="49" t="str">
        <f t="shared" ref="F31:F35" si="5">IF(E31="","","－")</f>
        <v/>
      </c>
      <c r="G31" s="50" t="str">
        <f>IF(E9="","",IF(E9&lt;=★計算基準!G12,E9,430000))</f>
        <v/>
      </c>
      <c r="H31" s="47" t="str">
        <f t="shared" si="3"/>
        <v/>
      </c>
      <c r="I31" s="50" t="str">
        <f t="shared" si="4"/>
        <v/>
      </c>
      <c r="J31" s="47"/>
      <c r="K31" s="51"/>
      <c r="L31" s="47"/>
      <c r="M31" s="452"/>
      <c r="N31" s="52"/>
      <c r="O31" s="5"/>
      <c r="P31" s="5"/>
      <c r="Q31" s="5"/>
      <c r="R31" s="5"/>
      <c r="S31" s="39"/>
      <c r="T31" s="5"/>
    </row>
    <row r="32" spans="2:37" ht="22.5" customHeight="1">
      <c r="B32" s="5"/>
      <c r="C32" s="487"/>
      <c r="D32" s="202" t="str">
        <f>IF(★計算基準!D20=0,"","加入者2")</f>
        <v/>
      </c>
      <c r="E32" s="41" t="str">
        <f>IF(★計算基準!J20=0,"",★計算基準!J20)</f>
        <v/>
      </c>
      <c r="F32" s="42" t="str">
        <f t="shared" si="5"/>
        <v/>
      </c>
      <c r="G32" s="43" t="str">
        <f>IF(E10="","",IF(E10&lt;=★計算基準!G12,E10,430000))</f>
        <v/>
      </c>
      <c r="H32" s="40" t="str">
        <f t="shared" si="3"/>
        <v/>
      </c>
      <c r="I32" s="43" t="str">
        <f t="shared" si="4"/>
        <v/>
      </c>
      <c r="J32" s="75"/>
      <c r="K32" s="464">
        <f>SUM(I30:I35)</f>
        <v>0</v>
      </c>
      <c r="L32" s="76"/>
      <c r="M32" s="452"/>
      <c r="N32" s="65"/>
      <c r="O32" s="5"/>
      <c r="P32" s="450">
        <f>ROUNDDOWN(K32*M30,0)</f>
        <v>0</v>
      </c>
      <c r="Q32" s="269"/>
      <c r="R32" s="435" t="s">
        <v>130</v>
      </c>
      <c r="S32" s="39"/>
      <c r="T32" s="5"/>
    </row>
    <row r="33" spans="2:23" ht="22.5" customHeight="1">
      <c r="B33" s="5"/>
      <c r="C33" s="487"/>
      <c r="D33" s="203" t="str">
        <f>IF(★計算基準!D21=0,"","加入者3")</f>
        <v/>
      </c>
      <c r="E33" s="74" t="str">
        <f>IF(★計算基準!J21=0,"",★計算基準!J21)</f>
        <v/>
      </c>
      <c r="F33" s="49" t="str">
        <f t="shared" si="5"/>
        <v/>
      </c>
      <c r="G33" s="50" t="str">
        <f>IF(E11="","",IF(E11&lt;=★計算基準!G12,E11,430000))</f>
        <v/>
      </c>
      <c r="H33" s="47" t="str">
        <f t="shared" si="3"/>
        <v/>
      </c>
      <c r="I33" s="50" t="str">
        <f t="shared" si="4"/>
        <v/>
      </c>
      <c r="J33" s="77"/>
      <c r="K33" s="465"/>
      <c r="L33" s="78"/>
      <c r="M33" s="452"/>
      <c r="N33" s="52"/>
      <c r="O33" s="5"/>
      <c r="P33" s="450"/>
      <c r="Q33" s="269"/>
      <c r="R33" s="467"/>
      <c r="S33" s="39"/>
      <c r="T33" s="5"/>
    </row>
    <row r="34" spans="2:23" ht="22.5" customHeight="1">
      <c r="B34" s="5"/>
      <c r="C34" s="487"/>
      <c r="D34" s="202" t="str">
        <f>IF(★計算基準!D22=0,"","加入者4")</f>
        <v/>
      </c>
      <c r="E34" s="41" t="str">
        <f>IF(★計算基準!J22=0,"",★計算基準!J22)</f>
        <v/>
      </c>
      <c r="F34" s="42" t="str">
        <f t="shared" si="5"/>
        <v/>
      </c>
      <c r="G34" s="43" t="str">
        <f>IF(E12="","",IF(E12&lt;=★計算基準!G12,E12,430000))</f>
        <v/>
      </c>
      <c r="H34" s="40" t="str">
        <f t="shared" si="3"/>
        <v/>
      </c>
      <c r="I34" s="43" t="str">
        <f t="shared" si="4"/>
        <v/>
      </c>
      <c r="J34" s="40"/>
      <c r="K34" s="64"/>
      <c r="L34" s="40"/>
      <c r="M34" s="452"/>
      <c r="N34" s="65"/>
      <c r="O34" s="5"/>
      <c r="P34" s="5"/>
      <c r="Q34" s="5"/>
      <c r="R34" s="5"/>
      <c r="S34" s="39"/>
      <c r="T34" s="5"/>
    </row>
    <row r="35" spans="2:23" ht="22.5" customHeight="1">
      <c r="B35" s="5"/>
      <c r="C35" s="487"/>
      <c r="D35" s="314" t="str">
        <f>IF(★計算基準!D23=0,"","加入者5")</f>
        <v/>
      </c>
      <c r="E35" s="340" t="str">
        <f>IF(★計算基準!J23=0,"",★計算基準!J23)</f>
        <v/>
      </c>
      <c r="F35" s="316" t="str">
        <f t="shared" si="5"/>
        <v/>
      </c>
      <c r="G35" s="341" t="str">
        <f>IF(E13="","",IF(E13&lt;=★計算基準!G12,E13,430000))</f>
        <v/>
      </c>
      <c r="H35" s="318" t="str">
        <f t="shared" si="3"/>
        <v/>
      </c>
      <c r="I35" s="341" t="str">
        <f t="shared" si="4"/>
        <v/>
      </c>
      <c r="J35" s="318"/>
      <c r="K35" s="51"/>
      <c r="L35" s="318"/>
      <c r="M35" s="453"/>
      <c r="N35" s="319"/>
      <c r="O35" s="5"/>
      <c r="P35" s="5"/>
      <c r="Q35" s="5"/>
      <c r="R35" s="5"/>
      <c r="S35" s="39"/>
      <c r="T35" s="5"/>
    </row>
    <row r="36" spans="2:23" ht="5.0999999999999996" customHeight="1">
      <c r="B36" s="5"/>
      <c r="C36" s="488"/>
      <c r="D36" s="201"/>
      <c r="E36" s="79"/>
      <c r="F36" s="293"/>
      <c r="G36" s="5"/>
      <c r="H36" s="293"/>
      <c r="I36" s="80"/>
      <c r="J36" s="5"/>
      <c r="K36" s="293"/>
      <c r="L36" s="5"/>
      <c r="M36" s="5"/>
      <c r="N36" s="5"/>
      <c r="O36" s="5"/>
      <c r="P36" s="5"/>
      <c r="Q36" s="5"/>
      <c r="R36" s="5"/>
      <c r="S36" s="39"/>
      <c r="T36" s="5"/>
    </row>
    <row r="37" spans="2:23" ht="5.0999999999999996" customHeight="1">
      <c r="B37" s="5"/>
      <c r="C37" s="345"/>
      <c r="D37" s="346"/>
      <c r="E37" s="347"/>
      <c r="F37" s="348"/>
      <c r="G37" s="349"/>
      <c r="H37" s="348"/>
      <c r="I37" s="350"/>
      <c r="J37" s="349"/>
      <c r="K37" s="348"/>
      <c r="L37" s="349"/>
      <c r="M37" s="349"/>
      <c r="N37" s="349"/>
      <c r="O37" s="349"/>
      <c r="P37" s="349"/>
      <c r="Q37" s="349"/>
      <c r="R37" s="349"/>
      <c r="S37" s="351"/>
      <c r="T37" s="5"/>
    </row>
    <row r="38" spans="2:23" ht="22.5" customHeight="1">
      <c r="B38" s="5"/>
      <c r="C38" s="489" t="s">
        <v>55</v>
      </c>
      <c r="D38" s="342"/>
      <c r="E38" s="343"/>
      <c r="F38" s="329"/>
      <c r="G38" s="328" t="s">
        <v>42</v>
      </c>
      <c r="H38" s="329"/>
      <c r="I38" s="330">
        <f>★計算基準!D13</f>
        <v>10334</v>
      </c>
      <c r="J38" s="329" t="s">
        <v>58</v>
      </c>
      <c r="K38" s="344">
        <f>★計算基準!C36</f>
        <v>1</v>
      </c>
      <c r="L38" s="329" t="s">
        <v>57</v>
      </c>
      <c r="M38" s="455">
        <f>I38*K38</f>
        <v>10334</v>
      </c>
      <c r="N38" s="455"/>
      <c r="O38" s="5"/>
      <c r="P38" s="292"/>
      <c r="Q38" s="291"/>
      <c r="R38" s="291"/>
      <c r="S38" s="93"/>
      <c r="T38" s="5"/>
    </row>
    <row r="39" spans="2:23" ht="22.5" customHeight="1">
      <c r="B39" s="5"/>
      <c r="C39" s="489"/>
      <c r="D39" s="243"/>
      <c r="E39" s="244"/>
      <c r="F39" s="245" t="str">
        <f>IF(★計算基準!C36=0,"",IF(VLOOKUP("○",★計算基準!G46:J49,4,FALSE)=0,"","減額："))</f>
        <v>減額：</v>
      </c>
      <c r="G39" s="272" t="str">
        <f>IF(★計算基準!C36=0,"",IF(VLOOKUP("○",★計算基準!G46:J49,4,FALSE)=0,"",VLOOKUP("○",★計算基準!G46:J49,4,FALSE)))</f>
        <v>7割</v>
      </c>
      <c r="H39" s="40"/>
      <c r="I39" s="43">
        <f>IF(★計算基準!C36=0,"",IF(VLOOKUP("○",★計算基準!G46:J49,4,FALSE)=0,"",0-★計算基準!D33/K39))</f>
        <v>-7234</v>
      </c>
      <c r="J39" s="40" t="str">
        <f>IF(★計算基準!C36=0,"",IF(VLOOKUP("○",★計算基準!G46:J49,4,FALSE)=0,"","×"))</f>
        <v>×</v>
      </c>
      <c r="K39" s="246">
        <f>IF(★計算基準!C36=0,"",IF(VLOOKUP("○",★計算基準!G46:J49,4,FALSE)=0,"",★計算基準!C36))</f>
        <v>1</v>
      </c>
      <c r="L39" s="40" t="str">
        <f>IF(★計算基準!C36=0,"",IF(VLOOKUP("○",★計算基準!G46:J49,4,FALSE)=0,"","＝"))</f>
        <v>＝</v>
      </c>
      <c r="M39" s="454">
        <f>IF(★計算基準!C36=0,"",IF(VLOOKUP("○",★計算基準!G46:J49,4,FALSE)=0,"",I39*K17))</f>
        <v>-7234</v>
      </c>
      <c r="N39" s="454"/>
      <c r="O39" s="5"/>
      <c r="P39" s="227">
        <f>IF(AND(M39="",M40=""),M38,IF(M39="",M38+M40,IF(M40="",M38+M39,M38+M39+M40)))</f>
        <v>3100</v>
      </c>
      <c r="Q39" s="269"/>
      <c r="R39" s="277" t="s">
        <v>129</v>
      </c>
      <c r="S39" s="93"/>
      <c r="T39" s="5"/>
    </row>
    <row r="40" spans="2:23" ht="22.5" customHeight="1">
      <c r="B40" s="5"/>
      <c r="C40" s="490"/>
      <c r="D40" s="321"/>
      <c r="E40" s="322"/>
      <c r="F40" s="323" t="str">
        <f>F18</f>
        <v/>
      </c>
      <c r="G40" s="324" t="str">
        <f>G18</f>
        <v/>
      </c>
      <c r="H40" s="325"/>
      <c r="I40" s="294" t="str">
        <f>IF(★計算基準!H42=0,"",-★計算基準!J42/★計算基準!H42)</f>
        <v/>
      </c>
      <c r="J40" s="326" t="str">
        <f>J18</f>
        <v/>
      </c>
      <c r="K40" s="327" t="str">
        <f>K18</f>
        <v/>
      </c>
      <c r="L40" s="325" t="str">
        <f>L18</f>
        <v/>
      </c>
      <c r="M40" s="454" t="str">
        <f>IF(★計算基準!J42=0,"",-★計算基準!J42)</f>
        <v/>
      </c>
      <c r="N40" s="463" t="str">
        <f>IF(★計算基準!K61=0,"",★計算基準!K61)</f>
        <v/>
      </c>
      <c r="O40" s="5"/>
      <c r="P40" s="298"/>
      <c r="Q40" s="291"/>
      <c r="R40" s="291"/>
      <c r="S40" s="93"/>
      <c r="T40" s="5"/>
      <c r="W40" s="247"/>
    </row>
    <row r="41" spans="2:23" ht="5.0999999999999996" customHeight="1">
      <c r="B41" s="5"/>
      <c r="C41" s="352"/>
      <c r="D41" s="206"/>
      <c r="E41" s="69"/>
      <c r="F41" s="68"/>
      <c r="G41" s="70"/>
      <c r="H41" s="68"/>
      <c r="I41" s="71"/>
      <c r="J41" s="70"/>
      <c r="K41" s="68"/>
      <c r="L41" s="70"/>
      <c r="M41" s="70"/>
      <c r="N41" s="70"/>
      <c r="O41" s="70"/>
      <c r="P41" s="70"/>
      <c r="Q41" s="70"/>
      <c r="R41" s="70"/>
      <c r="S41" s="72"/>
      <c r="T41" s="5"/>
    </row>
    <row r="42" spans="2:23" ht="5.0999999999999996" customHeight="1">
      <c r="B42" s="5"/>
      <c r="C42" s="353"/>
      <c r="D42" s="346"/>
      <c r="E42" s="347"/>
      <c r="F42" s="348"/>
      <c r="G42" s="349"/>
      <c r="H42" s="348"/>
      <c r="I42" s="350"/>
      <c r="J42" s="349"/>
      <c r="K42" s="348"/>
      <c r="L42" s="349"/>
      <c r="M42" s="349"/>
      <c r="N42" s="349"/>
      <c r="O42" s="349"/>
      <c r="P42" s="349"/>
      <c r="Q42" s="349"/>
      <c r="R42" s="349"/>
      <c r="S42" s="351"/>
      <c r="T42" s="5"/>
    </row>
    <row r="43" spans="2:23" ht="22.5" customHeight="1">
      <c r="B43" s="5"/>
      <c r="C43" s="484" t="s">
        <v>152</v>
      </c>
      <c r="D43" s="342"/>
      <c r="E43" s="343"/>
      <c r="F43" s="329"/>
      <c r="G43" s="328" t="s">
        <v>43</v>
      </c>
      <c r="H43" s="329"/>
      <c r="I43" s="330">
        <f>★計算基準!E13</f>
        <v>9757</v>
      </c>
      <c r="J43" s="331"/>
      <c r="K43" s="332"/>
      <c r="L43" s="331"/>
      <c r="M43" s="455">
        <f>IF(★計算基準!C36=0,"",★計算基準!E13)</f>
        <v>9757</v>
      </c>
      <c r="N43" s="455"/>
      <c r="O43" s="5"/>
      <c r="P43" s="450">
        <f>IF(AND(M43="",M44=""),0,IF(M44="",M43,M43+M44))</f>
        <v>2927</v>
      </c>
      <c r="Q43" s="291"/>
      <c r="R43" s="435" t="s">
        <v>128</v>
      </c>
      <c r="S43" s="93"/>
      <c r="T43" s="5"/>
    </row>
    <row r="44" spans="2:23" ht="22.5" customHeight="1">
      <c r="B44" s="5"/>
      <c r="C44" s="485"/>
      <c r="D44" s="243"/>
      <c r="E44" s="244"/>
      <c r="F44" s="245" t="str">
        <f>IF(★計算基準!C36=0,"",IF(VLOOKUP("○",★計算基準!G46:J49,4,FALSE)=0,"","減額："))</f>
        <v>減額：</v>
      </c>
      <c r="G44" s="272" t="str">
        <f>IF(★計算基準!C36=0,"",IF(VLOOKUP("○",★計算基準!G46:J49,4,FALSE)=0,"",VLOOKUP("○",★計算基準!G46:J49,4,FALSE)))</f>
        <v>7割</v>
      </c>
      <c r="H44" s="40"/>
      <c r="I44" s="43">
        <f>IF(★計算基準!C36=0,"",IF(VLOOKUP("○",★計算基準!G46:J49,4,FALSE)=0,"",0-★計算基準!E33))</f>
        <v>-6830</v>
      </c>
      <c r="J44" s="73"/>
      <c r="K44" s="300"/>
      <c r="L44" s="73"/>
      <c r="M44" s="466">
        <f>IF(★計算基準!C36=0,"",IF(VLOOKUP("○",★計算基準!G46:J49,4,FALSE)=0,"",0-★計算基準!E33))</f>
        <v>-6830</v>
      </c>
      <c r="N44" s="466"/>
      <c r="O44" s="5"/>
      <c r="P44" s="450"/>
      <c r="Q44" s="291"/>
      <c r="R44" s="436"/>
      <c r="S44" s="93"/>
      <c r="T44" s="5"/>
    </row>
    <row r="45" spans="2:23" ht="5.0999999999999996" customHeight="1" thickBot="1">
      <c r="B45" s="5"/>
      <c r="C45" s="354"/>
      <c r="D45" s="334"/>
      <c r="E45" s="335"/>
      <c r="F45" s="336"/>
      <c r="G45" s="337"/>
      <c r="H45" s="336"/>
      <c r="I45" s="338"/>
      <c r="J45" s="337"/>
      <c r="K45" s="336"/>
      <c r="L45" s="337"/>
      <c r="M45" s="337"/>
      <c r="N45" s="337"/>
      <c r="O45" s="337"/>
      <c r="P45" s="337"/>
      <c r="Q45" s="337"/>
      <c r="R45" s="337"/>
      <c r="S45" s="339"/>
      <c r="T45" s="5"/>
    </row>
    <row r="46" spans="2:23" ht="33" customHeight="1" thickTop="1" thickBot="1">
      <c r="B46" s="5"/>
      <c r="C46" s="193" t="str">
        <f>C24</f>
        <v/>
      </c>
      <c r="D46" s="149"/>
      <c r="E46" s="276"/>
      <c r="F46" s="196"/>
      <c r="G46" s="189"/>
      <c r="H46" s="190"/>
      <c r="I46" s="280"/>
      <c r="J46" s="278"/>
      <c r="K46" s="457">
        <f>★計算基準!$S$35</f>
        <v>0</v>
      </c>
      <c r="L46" s="462"/>
      <c r="M46" s="191"/>
      <c r="N46" s="189"/>
      <c r="O46" s="189"/>
      <c r="P46" s="189"/>
      <c r="Q46" s="215"/>
      <c r="R46" s="192" t="str">
        <f>IF(C46="","","　… (エ)")</f>
        <v/>
      </c>
      <c r="S46" s="186"/>
      <c r="T46" s="5"/>
    </row>
    <row r="47" spans="2:23" ht="33" customHeight="1" thickTop="1" thickBot="1">
      <c r="B47" s="5"/>
      <c r="C47" s="283" t="s">
        <v>137</v>
      </c>
      <c r="D47" s="150" t="str">
        <f>IF(C24="",Y24,Y25)</f>
        <v xml:space="preserve"> (ア)＋(イ)＋(ウ)</v>
      </c>
      <c r="E47" s="282"/>
      <c r="F47" s="196" t="str">
        <f>" 賦課限度額 "&amp;TEXT(★計算基準!F13/10000,"（#,##0万円）")</f>
        <v xml:space="preserve"> 賦課限度額 (26万円)</v>
      </c>
      <c r="G47" s="189"/>
      <c r="H47" s="190"/>
      <c r="I47" s="447">
        <f>IF(ROUNDDOWN(SUM(P32:P44)-MAX(K46,0),-2)&gt;=★計算基準!F13,★計算基準!F13,ROUNDDOWN(SUM(P32:P44)-MAX(K46,0),-2))</f>
        <v>6000</v>
      </c>
      <c r="J47" s="447"/>
      <c r="K47" s="447"/>
      <c r="L47" s="447"/>
      <c r="M47" s="191" t="s">
        <v>52</v>
      </c>
      <c r="N47" s="189"/>
      <c r="O47" s="189"/>
      <c r="P47" s="189"/>
      <c r="Q47" s="215"/>
      <c r="R47" s="192" t="s">
        <v>139</v>
      </c>
      <c r="S47" s="187"/>
      <c r="T47" s="5"/>
    </row>
    <row r="48" spans="2:23" ht="24.95" customHeight="1" thickTop="1">
      <c r="B48" s="5"/>
      <c r="C48" s="5"/>
      <c r="D48" s="35"/>
      <c r="E48" s="5"/>
      <c r="F48" s="35"/>
      <c r="G48" s="5"/>
      <c r="H48" s="35"/>
      <c r="I48" s="5"/>
      <c r="J48" s="5"/>
      <c r="K48" s="5"/>
      <c r="L48" s="5"/>
      <c r="M48" s="5"/>
      <c r="N48" s="5"/>
      <c r="O48" s="5"/>
      <c r="P48" s="5"/>
      <c r="Q48" s="5"/>
      <c r="R48" s="5"/>
      <c r="S48" s="5"/>
      <c r="T48" s="5"/>
    </row>
    <row r="49" spans="2:20" ht="20.100000000000001" customHeight="1">
      <c r="B49" s="10"/>
      <c r="C49" s="5"/>
      <c r="D49" s="82"/>
      <c r="E49" s="5"/>
      <c r="F49" s="35"/>
      <c r="G49" s="36"/>
      <c r="H49" s="35"/>
      <c r="I49" s="5"/>
      <c r="J49" s="5"/>
      <c r="K49" s="5"/>
      <c r="L49" s="5"/>
      <c r="M49" s="5"/>
      <c r="N49" s="5"/>
      <c r="O49" s="5"/>
      <c r="P49" s="5"/>
      <c r="Q49" s="5"/>
      <c r="R49" s="5"/>
      <c r="S49" s="5"/>
      <c r="T49" s="5"/>
    </row>
    <row r="50" spans="2:20" ht="22.5" customHeight="1">
      <c r="B50" s="5"/>
      <c r="C50" s="472" t="s">
        <v>54</v>
      </c>
      <c r="D50" s="200"/>
      <c r="E50" s="474" t="s">
        <v>32</v>
      </c>
      <c r="F50" s="474"/>
      <c r="G50" s="460" t="s">
        <v>125</v>
      </c>
      <c r="H50" s="479"/>
      <c r="I50" s="481" t="s">
        <v>126</v>
      </c>
      <c r="J50" s="477"/>
      <c r="K50" s="460" t="s">
        <v>62</v>
      </c>
      <c r="L50" s="458"/>
      <c r="M50" s="458" t="s">
        <v>61</v>
      </c>
      <c r="N50" s="37"/>
      <c r="O50" s="37"/>
      <c r="P50" s="37"/>
      <c r="Q50" s="37"/>
      <c r="R50" s="37"/>
      <c r="S50" s="38"/>
      <c r="T50" s="5"/>
    </row>
    <row r="51" spans="2:20" ht="22.5" customHeight="1">
      <c r="B51" s="5"/>
      <c r="C51" s="473"/>
      <c r="D51" s="207"/>
      <c r="E51" s="476"/>
      <c r="F51" s="475"/>
      <c r="G51" s="478"/>
      <c r="H51" s="480"/>
      <c r="I51" s="482"/>
      <c r="J51" s="478"/>
      <c r="K51" s="461"/>
      <c r="L51" s="459"/>
      <c r="M51" s="483"/>
      <c r="N51" s="5"/>
      <c r="O51" s="5"/>
      <c r="P51" s="5"/>
      <c r="Q51" s="5"/>
      <c r="R51" s="5"/>
      <c r="S51" s="39"/>
      <c r="T51" s="5"/>
    </row>
    <row r="52" spans="2:20" ht="22.5" customHeight="1">
      <c r="B52" s="5"/>
      <c r="C52" s="473"/>
      <c r="D52" s="202" t="str">
        <f>IF(★計算基準!E18=0,"","世帯主")</f>
        <v>世帯主</v>
      </c>
      <c r="E52" s="83" t="str">
        <f>IF(★計算基準!A18=1,IF(★計算基準!C18=4,IF(★計算基準!J18=0,"",★計算基準!J18),""),"")</f>
        <v/>
      </c>
      <c r="F52" s="42" t="str">
        <f>IF(E52="","","－")</f>
        <v/>
      </c>
      <c r="G52" s="84" t="str">
        <f>IF(★計算基準!C18=4,IF(E8="","",IF(E8&lt;=★計算基準!G12,E8,430000)),"")</f>
        <v/>
      </c>
      <c r="H52" s="40" t="str">
        <f t="shared" ref="H52:H57" si="6">IF(E52="","","＝")</f>
        <v/>
      </c>
      <c r="I52" s="84" t="str">
        <f t="shared" ref="I52:I57" si="7">IF(E52="","",IF(E52=0,"",E52-G52))</f>
        <v/>
      </c>
      <c r="J52" s="40"/>
      <c r="K52" s="44"/>
      <c r="L52" s="85"/>
      <c r="M52" s="451">
        <f>★計算基準!C14</f>
        <v>2.81E-2</v>
      </c>
      <c r="N52" s="86"/>
      <c r="O52" s="5"/>
      <c r="P52" s="5"/>
      <c r="Q52" s="5"/>
      <c r="R52" s="5"/>
      <c r="S52" s="39"/>
      <c r="T52" s="5"/>
    </row>
    <row r="53" spans="2:20" ht="22.5" customHeight="1">
      <c r="B53" s="5"/>
      <c r="C53" s="473"/>
      <c r="D53" s="203" t="str">
        <f>IF(★計算基準!E19=0,"","加入者1")</f>
        <v/>
      </c>
      <c r="E53" s="66" t="str">
        <f>IF(★計算基準!C19=5,IF(★計算基準!J19=0,"",★計算基準!J19),"")</f>
        <v/>
      </c>
      <c r="F53" s="49" t="str">
        <f t="shared" ref="F53:F57" si="8">IF(E53="","","－")</f>
        <v/>
      </c>
      <c r="G53" s="67" t="str">
        <f>IF(★計算基準!C19=5,IF(E9="","",IF(E9&lt;=★計算基準!G12,E9,430000)),"")</f>
        <v/>
      </c>
      <c r="H53" s="47" t="str">
        <f t="shared" si="6"/>
        <v/>
      </c>
      <c r="I53" s="67" t="str">
        <f>IF(E53="","",IF(E53=0,"",E53-G53))</f>
        <v/>
      </c>
      <c r="J53" s="47"/>
      <c r="K53" s="87"/>
      <c r="L53" s="77"/>
      <c r="M53" s="452"/>
      <c r="N53" s="52"/>
      <c r="O53" s="5"/>
      <c r="P53" s="5"/>
      <c r="Q53" s="5"/>
      <c r="R53" s="5"/>
      <c r="S53" s="39"/>
      <c r="T53" s="5"/>
    </row>
    <row r="54" spans="2:20" ht="22.5" customHeight="1">
      <c r="B54" s="5"/>
      <c r="C54" s="473"/>
      <c r="D54" s="202" t="str">
        <f>IF(★計算基準!E20=0,"","加入者2")</f>
        <v/>
      </c>
      <c r="E54" s="41" t="str">
        <f>IF(★計算基準!C20=5,IF(★計算基準!J20=0,"",★計算基準!J20),"")</f>
        <v/>
      </c>
      <c r="F54" s="42" t="str">
        <f t="shared" si="8"/>
        <v/>
      </c>
      <c r="G54" s="43" t="str">
        <f>IF(★計算基準!C20=5,IF(E10="","",IF(E10&lt;=★計算基準!G12,E10,430000)),"")</f>
        <v/>
      </c>
      <c r="H54" s="40" t="str">
        <f t="shared" si="6"/>
        <v/>
      </c>
      <c r="I54" s="43" t="str">
        <f t="shared" si="7"/>
        <v/>
      </c>
      <c r="J54" s="75"/>
      <c r="K54" s="464">
        <f>SUM(I52:I57)</f>
        <v>0</v>
      </c>
      <c r="L54" s="88"/>
      <c r="M54" s="452"/>
      <c r="N54" s="65"/>
      <c r="O54" s="5"/>
      <c r="P54" s="450">
        <f>ROUNDDOWN(K54*M52,0)</f>
        <v>0</v>
      </c>
      <c r="Q54" s="443" t="s">
        <v>108</v>
      </c>
      <c r="R54" s="443"/>
      <c r="S54" s="39"/>
      <c r="T54" s="5"/>
    </row>
    <row r="55" spans="2:20" ht="22.5" customHeight="1">
      <c r="B55" s="5"/>
      <c r="C55" s="473"/>
      <c r="D55" s="203" t="str">
        <f>IF(★計算基準!E21=0,"","加入者3")</f>
        <v/>
      </c>
      <c r="E55" s="66" t="str">
        <f>IF(★計算基準!C21=5,IF(★計算基準!J21=0,"",★計算基準!J21),"")</f>
        <v/>
      </c>
      <c r="F55" s="49" t="str">
        <f t="shared" si="8"/>
        <v/>
      </c>
      <c r="G55" s="67" t="str">
        <f>IF(★計算基準!C21=5,IF(E11="","",IF(E11&lt;=★計算基準!G12,E11,430000)),"")</f>
        <v/>
      </c>
      <c r="H55" s="47" t="str">
        <f t="shared" si="6"/>
        <v/>
      </c>
      <c r="I55" s="67" t="str">
        <f t="shared" si="7"/>
        <v/>
      </c>
      <c r="J55" s="77"/>
      <c r="K55" s="465"/>
      <c r="L55" s="89"/>
      <c r="M55" s="452"/>
      <c r="N55" s="52"/>
      <c r="O55" s="5"/>
      <c r="P55" s="450"/>
      <c r="Q55" s="443"/>
      <c r="R55" s="443"/>
      <c r="S55" s="39"/>
      <c r="T55" s="5"/>
    </row>
    <row r="56" spans="2:20" ht="22.5" customHeight="1">
      <c r="B56" s="5"/>
      <c r="C56" s="473"/>
      <c r="D56" s="202" t="str">
        <f>IF(★計算基準!E22=0,"","加入者4")</f>
        <v/>
      </c>
      <c r="E56" s="41" t="str">
        <f>IF(★計算基準!C22=5,IF(★計算基準!J22=0,"",★計算基準!J22),"")</f>
        <v/>
      </c>
      <c r="F56" s="42" t="str">
        <f t="shared" si="8"/>
        <v/>
      </c>
      <c r="G56" s="43" t="str">
        <f>IF(★計算基準!C22=5,IF(E12="","",IF(E12&lt;=★計算基準!G12,E12,430000)),"")</f>
        <v/>
      </c>
      <c r="H56" s="40" t="str">
        <f t="shared" si="6"/>
        <v/>
      </c>
      <c r="I56" s="43" t="str">
        <f t="shared" si="7"/>
        <v/>
      </c>
      <c r="J56" s="40"/>
      <c r="K56" s="90"/>
      <c r="L56" s="57"/>
      <c r="M56" s="452"/>
      <c r="N56" s="65"/>
      <c r="O56" s="5"/>
      <c r="P56" s="5"/>
      <c r="Q56" s="5"/>
      <c r="R56" s="5"/>
      <c r="S56" s="39"/>
      <c r="T56" s="5"/>
    </row>
    <row r="57" spans="2:20" ht="22.5" customHeight="1">
      <c r="B57" s="5"/>
      <c r="C57" s="473"/>
      <c r="D57" s="314" t="str">
        <f>IF(★計算基準!E23=0,"","加入者5")</f>
        <v/>
      </c>
      <c r="E57" s="315" t="str">
        <f>IF(★計算基準!C23=5,IF(★計算基準!J23=0,"",★計算基準!J23),"")</f>
        <v/>
      </c>
      <c r="F57" s="316" t="str">
        <f t="shared" si="8"/>
        <v/>
      </c>
      <c r="G57" s="317" t="str">
        <f>IF(★計算基準!C23=5,IF(E13="","",IF(E13&lt;=★計算基準!G12,E13,430000)),"")</f>
        <v/>
      </c>
      <c r="H57" s="318" t="str">
        <f t="shared" si="6"/>
        <v/>
      </c>
      <c r="I57" s="317" t="str">
        <f t="shared" si="7"/>
        <v/>
      </c>
      <c r="J57" s="318"/>
      <c r="K57" s="51"/>
      <c r="L57" s="358"/>
      <c r="M57" s="453"/>
      <c r="N57" s="319"/>
      <c r="O57" s="5"/>
      <c r="P57" s="5"/>
      <c r="Q57" s="5"/>
      <c r="R57" s="5"/>
      <c r="S57" s="39"/>
      <c r="T57" s="5"/>
    </row>
    <row r="58" spans="2:20" ht="5.0999999999999996" customHeight="1">
      <c r="B58" s="5"/>
      <c r="C58" s="473"/>
      <c r="D58" s="206"/>
      <c r="E58" s="69"/>
      <c r="F58" s="68"/>
      <c r="G58" s="70"/>
      <c r="H58" s="68"/>
      <c r="I58" s="71"/>
      <c r="J58" s="70"/>
      <c r="K58" s="68"/>
      <c r="L58" s="70"/>
      <c r="M58" s="5"/>
      <c r="N58" s="70"/>
      <c r="O58" s="5"/>
      <c r="P58" s="5"/>
      <c r="Q58" s="5"/>
      <c r="R58" s="5"/>
      <c r="S58" s="39"/>
      <c r="T58" s="5"/>
    </row>
    <row r="59" spans="2:20" ht="5.0999999999999996" customHeight="1">
      <c r="B59" s="5"/>
      <c r="C59" s="357"/>
      <c r="D59" s="346"/>
      <c r="E59" s="347"/>
      <c r="F59" s="348"/>
      <c r="G59" s="349"/>
      <c r="H59" s="348"/>
      <c r="I59" s="350"/>
      <c r="J59" s="349"/>
      <c r="K59" s="348"/>
      <c r="L59" s="349"/>
      <c r="M59" s="349"/>
      <c r="N59" s="349"/>
      <c r="O59" s="349"/>
      <c r="P59" s="349"/>
      <c r="Q59" s="349"/>
      <c r="R59" s="349"/>
      <c r="S59" s="351"/>
      <c r="T59" s="5"/>
    </row>
    <row r="60" spans="2:20" ht="22.5" customHeight="1">
      <c r="B60" s="5"/>
      <c r="C60" s="470" t="s">
        <v>55</v>
      </c>
      <c r="D60" s="201"/>
      <c r="E60" s="91"/>
      <c r="F60" s="293"/>
      <c r="G60" s="355" t="s">
        <v>42</v>
      </c>
      <c r="H60" s="293"/>
      <c r="I60" s="274">
        <f>★計算基準!D14</f>
        <v>10386</v>
      </c>
      <c r="J60" s="293" t="s">
        <v>58</v>
      </c>
      <c r="K60" s="356">
        <f>★計算基準!C37</f>
        <v>1</v>
      </c>
      <c r="L60" s="293" t="s">
        <v>57</v>
      </c>
      <c r="M60" s="455">
        <f>I60*K60</f>
        <v>10386</v>
      </c>
      <c r="N60" s="455"/>
      <c r="O60" s="5"/>
      <c r="P60" s="450">
        <f>IF(M61="",M60,M60+M61)</f>
        <v>3115</v>
      </c>
      <c r="Q60" s="443" t="s">
        <v>107</v>
      </c>
      <c r="R60" s="443"/>
      <c r="S60" s="93"/>
      <c r="T60" s="5"/>
    </row>
    <row r="61" spans="2:20" ht="22.5" customHeight="1">
      <c r="B61" s="5"/>
      <c r="C61" s="471"/>
      <c r="D61" s="321"/>
      <c r="E61" s="322"/>
      <c r="F61" s="323" t="str">
        <f>IF(★計算基準!C37=0,"",IF(VLOOKUP("○",★計算基準!G46:J49,4,FALSE)=0,"","減額："))</f>
        <v>減額：</v>
      </c>
      <c r="G61" s="359" t="str">
        <f>IF(★計算基準!C37=0,"",IF(VLOOKUP("○",★計算基準!G46:J49,4,FALSE)=0,"",VLOOKUP("○",★計算基準!G46:J49,4,FALSE)))</f>
        <v>7割</v>
      </c>
      <c r="H61" s="325"/>
      <c r="I61" s="360">
        <f>IF(★計算基準!C37=0,"",IF(VLOOKUP("○",★計算基準!G46:J49,4,FALSE)=0,"",0-★計算基準!F33/K61))</f>
        <v>-7271</v>
      </c>
      <c r="J61" s="325" t="str">
        <f>IF(★計算基準!C37=0,"",IF(VLOOKUP("○",★計算基準!G46:J49,4,FALSE)=0,"","×"))</f>
        <v>×</v>
      </c>
      <c r="K61" s="327">
        <f>IF(★計算基準!C37=0,"",IF(VLOOKUP("○",★計算基準!G46:J49,4,FALSE)=0,"",★計算基準!C37))</f>
        <v>1</v>
      </c>
      <c r="L61" s="325" t="str">
        <f>IF(★計算基準!C37=0,"",IF(VLOOKUP("○",★計算基準!G46:J49,4,FALSE)=0,"","＝"))</f>
        <v>＝</v>
      </c>
      <c r="M61" s="454">
        <f>IF(★計算基準!C37=0,"",IF(VLOOKUP("○",★計算基準!G46:J49,4,FALSE)=0,"",I61*K61))</f>
        <v>-7271</v>
      </c>
      <c r="N61" s="454"/>
      <c r="O61" s="5"/>
      <c r="P61" s="450"/>
      <c r="Q61" s="443"/>
      <c r="R61" s="443"/>
      <c r="S61" s="93"/>
      <c r="T61" s="5"/>
    </row>
    <row r="62" spans="2:20" ht="5.0999999999999996" customHeight="1">
      <c r="B62" s="5"/>
      <c r="C62" s="296"/>
      <c r="D62" s="206"/>
      <c r="E62" s="69"/>
      <c r="F62" s="68"/>
      <c r="G62" s="70"/>
      <c r="H62" s="68"/>
      <c r="I62" s="71"/>
      <c r="J62" s="70"/>
      <c r="K62" s="68"/>
      <c r="L62" s="70"/>
      <c r="M62" s="70"/>
      <c r="N62" s="70"/>
      <c r="O62" s="70"/>
      <c r="P62" s="70"/>
      <c r="Q62" s="70"/>
      <c r="R62" s="70"/>
      <c r="S62" s="72"/>
      <c r="T62" s="5"/>
    </row>
    <row r="63" spans="2:20" ht="5.0999999999999996" customHeight="1">
      <c r="B63" s="5"/>
      <c r="C63" s="295"/>
      <c r="D63" s="201"/>
      <c r="E63" s="79"/>
      <c r="F63" s="293"/>
      <c r="G63" s="5"/>
      <c r="H63" s="293"/>
      <c r="I63" s="80"/>
      <c r="J63" s="5"/>
      <c r="K63" s="293"/>
      <c r="L63" s="5"/>
      <c r="M63" s="5"/>
      <c r="N63" s="5"/>
      <c r="O63" s="5"/>
      <c r="P63" s="5"/>
      <c r="Q63" s="5"/>
      <c r="R63" s="5"/>
      <c r="S63" s="39"/>
      <c r="T63" s="5"/>
    </row>
    <row r="64" spans="2:20" ht="22.5" customHeight="1">
      <c r="B64" s="5"/>
      <c r="C64" s="468" t="s">
        <v>152</v>
      </c>
      <c r="D64" s="201"/>
      <c r="E64" s="91"/>
      <c r="F64" s="293"/>
      <c r="G64" s="355" t="s">
        <v>43</v>
      </c>
      <c r="H64" s="293"/>
      <c r="I64" s="274">
        <f>★計算基準!E14</f>
        <v>7912</v>
      </c>
      <c r="J64" s="5"/>
      <c r="K64" s="92"/>
      <c r="L64" s="5"/>
      <c r="M64" s="455">
        <f>IF(★計算基準!C37=0,"",I64)</f>
        <v>7912</v>
      </c>
      <c r="N64" s="455"/>
      <c r="O64" s="5"/>
      <c r="P64" s="450">
        <f>IF(AND(M64="",M65=""),0,IF(M65="",M64,M64+M65))</f>
        <v>2373</v>
      </c>
      <c r="Q64" s="443" t="s">
        <v>106</v>
      </c>
      <c r="R64" s="443"/>
      <c r="S64" s="93"/>
      <c r="T64" s="5"/>
    </row>
    <row r="65" spans="2:20" ht="22.5" customHeight="1">
      <c r="B65" s="5"/>
      <c r="C65" s="469"/>
      <c r="D65" s="321"/>
      <c r="E65" s="322"/>
      <c r="F65" s="323" t="str">
        <f>IF(★計算基準!C37=0,"",IF(VLOOKUP("○",★計算基準!G46:J49,4,FALSE)=0,"","減額："))</f>
        <v>減額：</v>
      </c>
      <c r="G65" s="359" t="str">
        <f>IF(★計算基準!C37=0,"",IF(VLOOKUP("○",★計算基準!G46:J49,4,FALSE)=0,"",VLOOKUP("○",★計算基準!G46:J49,4,FALSE)))</f>
        <v>7割</v>
      </c>
      <c r="H65" s="325"/>
      <c r="I65" s="360">
        <f>IF(★計算基準!C37=0,"",IF(VLOOKUP("○",★計算基準!G46:J49,4,FALSE)=0,"",0-★計算基準!G33))</f>
        <v>-5539</v>
      </c>
      <c r="J65" s="361"/>
      <c r="K65" s="362"/>
      <c r="L65" s="361"/>
      <c r="M65" s="454">
        <f>IF(★計算基準!C37=0,"",IF(VLOOKUP("○",★計算基準!G46:J49,4,FALSE)=0,"",0-★計算基準!G33))</f>
        <v>-5539</v>
      </c>
      <c r="N65" s="454"/>
      <c r="O65" s="5"/>
      <c r="P65" s="450"/>
      <c r="Q65" s="443"/>
      <c r="R65" s="443"/>
      <c r="S65" s="93"/>
      <c r="T65" s="5"/>
    </row>
    <row r="66" spans="2:20" ht="5.0999999999999996" customHeight="1" thickBot="1">
      <c r="B66" s="5"/>
      <c r="C66" s="295"/>
      <c r="D66" s="206"/>
      <c r="E66" s="69"/>
      <c r="F66" s="293"/>
      <c r="G66" s="70"/>
      <c r="H66" s="293"/>
      <c r="I66" s="71"/>
      <c r="J66" s="5"/>
      <c r="K66" s="68"/>
      <c r="L66" s="70"/>
      <c r="M66" s="70"/>
      <c r="N66" s="70"/>
      <c r="O66" s="70"/>
      <c r="P66" s="70"/>
      <c r="Q66" s="70"/>
      <c r="R66" s="70"/>
      <c r="S66" s="72"/>
      <c r="T66" s="5"/>
    </row>
    <row r="67" spans="2:20" ht="33" customHeight="1" thickTop="1" thickBot="1">
      <c r="B67" s="5"/>
      <c r="C67" s="285" t="s">
        <v>134</v>
      </c>
      <c r="D67" s="286" t="s">
        <v>135</v>
      </c>
      <c r="E67" s="198"/>
      <c r="F67" s="188" t="str">
        <f>" 賦課限度額 "&amp;TEXT(★計算基準!F14/10000,"（#,##0万円）")</f>
        <v xml:space="preserve"> 賦課限度額 (17万円)</v>
      </c>
      <c r="G67" s="189"/>
      <c r="H67" s="190"/>
      <c r="I67" s="447">
        <f>IF(ROUNDDOWN(SUM(計算の詳細!P54:P65),-2)&gt;=★計算基準!F14,★計算基準!F14,ROUNDDOWN(SUM(計算の詳細!P54:P65),-2))</f>
        <v>5400</v>
      </c>
      <c r="J67" s="447"/>
      <c r="K67" s="447"/>
      <c r="L67" s="447"/>
      <c r="M67" s="191" t="s">
        <v>52</v>
      </c>
      <c r="N67" s="189"/>
      <c r="O67" s="189"/>
      <c r="P67" s="189"/>
      <c r="Q67" s="215"/>
      <c r="R67" s="192" t="s">
        <v>141</v>
      </c>
      <c r="S67" s="187"/>
      <c r="T67" s="5"/>
    </row>
    <row r="68" spans="2:20" ht="15" customHeight="1" thickTop="1" thickBot="1">
      <c r="B68" s="5"/>
      <c r="C68" s="22"/>
      <c r="D68" s="94"/>
      <c r="E68" s="22"/>
      <c r="F68" s="95"/>
      <c r="G68" s="96"/>
      <c r="H68" s="448"/>
      <c r="I68" s="449"/>
      <c r="J68" s="22"/>
      <c r="K68" s="22"/>
      <c r="L68" s="97"/>
      <c r="M68" s="456"/>
      <c r="N68" s="456"/>
      <c r="O68" s="97"/>
      <c r="P68" s="97"/>
      <c r="Q68" s="22"/>
      <c r="R68" s="22"/>
      <c r="S68" s="22"/>
      <c r="T68" s="5"/>
    </row>
    <row r="69" spans="2:20" ht="15" customHeight="1" thickBot="1">
      <c r="B69" s="5"/>
      <c r="C69" s="5"/>
      <c r="D69" s="35"/>
      <c r="E69" s="5"/>
      <c r="F69" s="81"/>
      <c r="G69" s="98"/>
      <c r="H69" s="99"/>
      <c r="I69" s="100"/>
      <c r="J69" s="5"/>
      <c r="K69" s="5"/>
      <c r="L69" s="10"/>
      <c r="M69" s="101"/>
      <c r="N69" s="101"/>
      <c r="O69" s="10"/>
      <c r="P69" s="10"/>
      <c r="Q69" s="5"/>
      <c r="R69" s="5"/>
      <c r="S69" s="5"/>
      <c r="T69" s="5"/>
    </row>
    <row r="70" spans="2:20" ht="45" customHeight="1" thickBot="1">
      <c r="I70" s="102" t="s">
        <v>109</v>
      </c>
      <c r="J70" s="103"/>
      <c r="K70" s="103"/>
      <c r="L70" s="103"/>
      <c r="M70" s="103"/>
      <c r="N70" s="103"/>
      <c r="O70" s="104"/>
      <c r="P70" s="444">
        <f>I25+I47+I67</f>
        <v>23000</v>
      </c>
      <c r="Q70" s="445"/>
      <c r="R70" s="445"/>
      <c r="S70" s="446"/>
    </row>
    <row r="71" spans="2:20" ht="4.5" customHeight="1">
      <c r="B71" s="5"/>
      <c r="C71" s="5"/>
      <c r="D71" s="35"/>
      <c r="E71" s="5"/>
      <c r="F71" s="81"/>
      <c r="G71" s="98"/>
      <c r="H71" s="437"/>
      <c r="I71" s="438"/>
      <c r="J71" s="5"/>
      <c r="K71" s="5"/>
      <c r="L71" s="10"/>
      <c r="M71" s="439"/>
      <c r="N71" s="439"/>
      <c r="O71" s="10"/>
      <c r="P71" s="10"/>
      <c r="Q71" s="5"/>
      <c r="R71" s="5"/>
      <c r="S71" s="5"/>
      <c r="T71" s="5"/>
    </row>
    <row r="72" spans="2:20" ht="30" customHeight="1">
      <c r="I72" s="275" t="s">
        <v>110</v>
      </c>
      <c r="J72" s="105"/>
      <c r="K72" s="105"/>
      <c r="L72" s="105"/>
      <c r="M72" s="105"/>
      <c r="N72" s="105"/>
      <c r="O72" s="106"/>
      <c r="P72" s="440">
        <f>P70/12</f>
        <v>1916.6666666666667</v>
      </c>
      <c r="Q72" s="441"/>
      <c r="R72" s="441"/>
      <c r="S72" s="442"/>
    </row>
    <row r="73" spans="2:20" ht="6.75" customHeight="1"/>
  </sheetData>
  <sheetProtection algorithmName="SHA-512" hashValue="9OpWZnw3opDngY1O6YW9ul+fD44E+1x/f32TLqucYCGJ8RMPLwEVmvewqufYkL0NFzYZDa0Uhve09xLWQsutZQ==" saltValue="X4CP8UB1FJ6KZRc7+Q0aWA==" spinCount="100000" sheet="1" selectLockedCells="1"/>
  <mergeCells count="81">
    <mergeCell ref="P10:P11"/>
    <mergeCell ref="P21:P22"/>
    <mergeCell ref="M22:N22"/>
    <mergeCell ref="R10:R11"/>
    <mergeCell ref="R21:R22"/>
    <mergeCell ref="M18:N18"/>
    <mergeCell ref="C6:C14"/>
    <mergeCell ref="E6:E7"/>
    <mergeCell ref="F6:F7"/>
    <mergeCell ref="G6:G7"/>
    <mergeCell ref="C21:C22"/>
    <mergeCell ref="C16:C18"/>
    <mergeCell ref="H6:H7"/>
    <mergeCell ref="M6:M7"/>
    <mergeCell ref="L6:L7"/>
    <mergeCell ref="J6:J7"/>
    <mergeCell ref="I28:I29"/>
    <mergeCell ref="M28:M29"/>
    <mergeCell ref="J28:J29"/>
    <mergeCell ref="I6:I7"/>
    <mergeCell ref="K6:K7"/>
    <mergeCell ref="M8:M13"/>
    <mergeCell ref="K10:K11"/>
    <mergeCell ref="M21:N21"/>
    <mergeCell ref="M16:N16"/>
    <mergeCell ref="M17:N17"/>
    <mergeCell ref="K24:L24"/>
    <mergeCell ref="C43:C44"/>
    <mergeCell ref="E28:E29"/>
    <mergeCell ref="H28:H29"/>
    <mergeCell ref="F28:F29"/>
    <mergeCell ref="G28:G29"/>
    <mergeCell ref="C28:C36"/>
    <mergeCell ref="C38:C40"/>
    <mergeCell ref="R32:R33"/>
    <mergeCell ref="P43:P44"/>
    <mergeCell ref="C64:C65"/>
    <mergeCell ref="C60:C61"/>
    <mergeCell ref="C50:C58"/>
    <mergeCell ref="K50:K51"/>
    <mergeCell ref="F50:F51"/>
    <mergeCell ref="E50:E51"/>
    <mergeCell ref="J50:J51"/>
    <mergeCell ref="H50:H51"/>
    <mergeCell ref="I50:I51"/>
    <mergeCell ref="K54:K55"/>
    <mergeCell ref="G50:G51"/>
    <mergeCell ref="L50:L51"/>
    <mergeCell ref="I47:L47"/>
    <mergeCell ref="M50:M51"/>
    <mergeCell ref="P64:P65"/>
    <mergeCell ref="M68:N68"/>
    <mergeCell ref="P32:P33"/>
    <mergeCell ref="I25:L25"/>
    <mergeCell ref="L28:L29"/>
    <mergeCell ref="K28:K29"/>
    <mergeCell ref="K46:L46"/>
    <mergeCell ref="M40:N40"/>
    <mergeCell ref="M38:N38"/>
    <mergeCell ref="M39:N39"/>
    <mergeCell ref="M30:M35"/>
    <mergeCell ref="K32:K33"/>
    <mergeCell ref="M44:N44"/>
    <mergeCell ref="M43:N43"/>
    <mergeCell ref="M60:N60"/>
    <mergeCell ref="R43:R44"/>
    <mergeCell ref="H71:I71"/>
    <mergeCell ref="M71:N71"/>
    <mergeCell ref="P72:S72"/>
    <mergeCell ref="Q54:R55"/>
    <mergeCell ref="Q60:R61"/>
    <mergeCell ref="P70:S70"/>
    <mergeCell ref="I67:L67"/>
    <mergeCell ref="H68:I68"/>
    <mergeCell ref="P54:P55"/>
    <mergeCell ref="M52:M57"/>
    <mergeCell ref="Q64:R65"/>
    <mergeCell ref="M61:N61"/>
    <mergeCell ref="M64:N64"/>
    <mergeCell ref="M65:N65"/>
    <mergeCell ref="P60:P61"/>
  </mergeCells>
  <phoneticPr fontId="2"/>
  <printOptions horizontalCentered="1"/>
  <pageMargins left="0.39370078740157483" right="0.39370078740157483" top="0.39370078740157483" bottom="0.39370078740157483" header="0.70866141732283472" footer="0"/>
  <pageSetup paperSize="9" scale="61" orientation="portrait" r:id="rId1"/>
  <headerFooter alignWithMargins="0">
    <oddHeader>&amp;R&amp;"BIZ UDゴシック,標準"&amp;D</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2:V51"/>
  <sheetViews>
    <sheetView zoomScale="90" zoomScaleNormal="90" workbookViewId="0">
      <selection activeCell="P30" sqref="P30"/>
    </sheetView>
  </sheetViews>
  <sheetFormatPr defaultRowHeight="15.75"/>
  <cols>
    <col min="1" max="1" width="9" style="107"/>
    <col min="2" max="2" width="16.25" style="107" customWidth="1"/>
    <col min="3" max="7" width="13.125" style="107" bestFit="1" customWidth="1"/>
    <col min="8" max="8" width="21.625" style="107" bestFit="1" customWidth="1"/>
    <col min="9" max="9" width="16.875" style="107" customWidth="1"/>
    <col min="10" max="12" width="13.125" style="107" bestFit="1" customWidth="1"/>
    <col min="13" max="13" width="16.75" style="107" customWidth="1"/>
    <col min="14" max="14" width="15.375" style="107" customWidth="1"/>
    <col min="15" max="15" width="26.25" style="107" bestFit="1" customWidth="1"/>
    <col min="16" max="17" width="15.375" style="107" customWidth="1"/>
    <col min="18" max="18" width="16.25" style="107" bestFit="1" customWidth="1"/>
    <col min="19" max="16384" width="9" style="107"/>
  </cols>
  <sheetData>
    <row r="2" spans="1:19" ht="47.25">
      <c r="A2" s="107" t="s">
        <v>86</v>
      </c>
      <c r="C2" s="237" t="s">
        <v>90</v>
      </c>
      <c r="E2" s="237" t="s">
        <v>91</v>
      </c>
      <c r="G2" s="107" t="s">
        <v>44</v>
      </c>
      <c r="K2" s="210" t="s">
        <v>83</v>
      </c>
      <c r="L2" s="210" t="s">
        <v>84</v>
      </c>
      <c r="M2" s="175" t="s">
        <v>70</v>
      </c>
      <c r="N2" s="175" t="s">
        <v>81</v>
      </c>
      <c r="O2" s="366" t="s">
        <v>157</v>
      </c>
      <c r="P2" s="371" t="s">
        <v>82</v>
      </c>
      <c r="Q2" s="370" t="s">
        <v>158</v>
      </c>
      <c r="R2" s="210" t="s">
        <v>85</v>
      </c>
    </row>
    <row r="3" spans="1:19">
      <c r="A3" s="162" t="s">
        <v>87</v>
      </c>
      <c r="B3" s="108">
        <v>1</v>
      </c>
      <c r="C3" s="230" t="s">
        <v>131</v>
      </c>
      <c r="D3" s="231">
        <v>1</v>
      </c>
      <c r="E3" s="230" t="s">
        <v>143</v>
      </c>
      <c r="F3" s="231">
        <v>1</v>
      </c>
      <c r="G3" s="110" t="s">
        <v>149</v>
      </c>
      <c r="J3" s="139" t="str">
        <f>IF(P3&gt;0,IF(L3=TRUE,"世帯主 ",""),"")</f>
        <v/>
      </c>
      <c r="K3" s="108" t="b">
        <v>0</v>
      </c>
      <c r="L3" s="108" t="b">
        <f>AND(K3=TRUE,C18&lt;5)</f>
        <v>0</v>
      </c>
      <c r="M3" s="158">
        <f>VLOOKUP(試算シート!R10,所得計算!B3:C13,2,1)</f>
        <v>0</v>
      </c>
      <c r="N3" s="159">
        <f t="shared" ref="N3:N8" si="0">IF(AND(M3&gt;0,G18&gt;0),IF(IF(M3&gt;100000,100000,M3)+IF(G18&gt;100000,100000,G18)&gt;100000,IF(M3&gt;100000,100000,M3)+IF(G18&gt;100000,100000,G18)-100000,M3),0)</f>
        <v>0</v>
      </c>
      <c r="O3" s="368">
        <f>IF(AND(M3&gt;0,H18&gt;0),IF(IF(M3&gt;100000,100000,M3)+IF(H18&gt;100000,100000,H18)&gt;100000,IF(M3&gt;100000,100000,M3)+IF(H18&gt;100000,100000,H18)-100000,M3),0)</f>
        <v>0</v>
      </c>
      <c r="P3" s="158">
        <f t="shared" ref="P3:P8" si="1">M3-N3</f>
        <v>0</v>
      </c>
      <c r="Q3" s="369">
        <f>M3-O3</f>
        <v>0</v>
      </c>
      <c r="R3" s="160">
        <f t="shared" ref="R3:R8" si="2">IF(L3=TRUE,P3*0.3,P3)</f>
        <v>0</v>
      </c>
    </row>
    <row r="4" spans="1:19">
      <c r="A4" s="162" t="s">
        <v>7</v>
      </c>
      <c r="B4" s="108">
        <v>2</v>
      </c>
      <c r="C4" s="230" t="s">
        <v>111</v>
      </c>
      <c r="D4" s="231">
        <v>2</v>
      </c>
      <c r="E4" s="234" t="s">
        <v>142</v>
      </c>
      <c r="F4" s="231">
        <v>2</v>
      </c>
      <c r="G4" s="110" t="s">
        <v>150</v>
      </c>
      <c r="J4" s="139" t="str">
        <f>IF(D19=1,IF(P4&gt;0,IF(L4=TRUE,"加入者１ ",""),""),"")</f>
        <v/>
      </c>
      <c r="K4" s="108" t="b">
        <v>0</v>
      </c>
      <c r="L4" s="108" t="b">
        <f>AND(D19=1,K4=TRUE,C19&gt;1,C19&lt;6)</f>
        <v>0</v>
      </c>
      <c r="M4" s="158">
        <f>VLOOKUP(試算シート!R12,所得計算!B16:C26,2,1)</f>
        <v>0</v>
      </c>
      <c r="N4" s="159">
        <f t="shared" si="0"/>
        <v>0</v>
      </c>
      <c r="O4" s="368">
        <f t="shared" ref="O4:O8" si="3">IF(AND(M4&gt;0,H19&gt;0),IF(IF(M4&gt;100000,100000,M4)+IF(H19&gt;100000,100000,H19)&gt;100000,IF(M4&gt;100000,100000,M4)+IF(H19&gt;100000,100000,H19)-100000,M4),0)</f>
        <v>0</v>
      </c>
      <c r="P4" s="158">
        <f t="shared" si="1"/>
        <v>0</v>
      </c>
      <c r="Q4" s="369">
        <f t="shared" ref="Q4:Q8" si="4">M4-O4</f>
        <v>0</v>
      </c>
      <c r="R4" s="160">
        <f t="shared" si="2"/>
        <v>0</v>
      </c>
      <c r="S4" s="107" t="str">
        <f>IF(J4="","",IF(J3="","加入者１","、加入者１"))</f>
        <v/>
      </c>
    </row>
    <row r="5" spans="1:19">
      <c r="A5" s="183"/>
      <c r="B5" s="184"/>
      <c r="C5" s="234" t="s">
        <v>112</v>
      </c>
      <c r="D5" s="231">
        <v>3</v>
      </c>
      <c r="E5" s="234" t="s">
        <v>111</v>
      </c>
      <c r="F5" s="231">
        <v>3</v>
      </c>
      <c r="G5" s="110" t="s">
        <v>151</v>
      </c>
      <c r="J5" s="139" t="str">
        <f>IF(D20=1,IF(P5&gt;0,IF(L5=TRUE,"加入者２ ",""),""),"")</f>
        <v/>
      </c>
      <c r="K5" s="108" t="b">
        <v>0</v>
      </c>
      <c r="L5" s="108" t="b">
        <f>AND(D20=1,K5=TRUE,C20&gt;1,C20&lt;6)</f>
        <v>0</v>
      </c>
      <c r="M5" s="158">
        <f>VLOOKUP(試算シート!R14,所得計算!B29:C39,2,1)</f>
        <v>0</v>
      </c>
      <c r="N5" s="159">
        <f t="shared" si="0"/>
        <v>0</v>
      </c>
      <c r="O5" s="368">
        <f t="shared" si="3"/>
        <v>0</v>
      </c>
      <c r="P5" s="158">
        <f t="shared" si="1"/>
        <v>0</v>
      </c>
      <c r="Q5" s="369">
        <f t="shared" si="4"/>
        <v>0</v>
      </c>
      <c r="R5" s="160">
        <f t="shared" si="2"/>
        <v>0</v>
      </c>
      <c r="S5" s="107" t="str">
        <f>IF(J5="","",IF(AND(J3="",J4=""),"加入者２","、加入者２"))</f>
        <v/>
      </c>
    </row>
    <row r="6" spans="1:19">
      <c r="A6" s="233" t="s">
        <v>115</v>
      </c>
      <c r="B6" s="233"/>
      <c r="C6" s="234" t="s">
        <v>113</v>
      </c>
      <c r="D6" s="231">
        <v>4</v>
      </c>
      <c r="E6" s="234" t="s">
        <v>112</v>
      </c>
      <c r="F6" s="231">
        <v>4</v>
      </c>
      <c r="G6" s="111"/>
      <c r="J6" s="139" t="str">
        <f>IF(D21=1,IF(P6&gt;0,IF(L6=TRUE,"加入者３ ",""),""),"")</f>
        <v/>
      </c>
      <c r="K6" s="108" t="b">
        <v>0</v>
      </c>
      <c r="L6" s="108" t="b">
        <f>AND(D21=1,K6=TRUE,C21&gt;1,C21&lt;6)</f>
        <v>0</v>
      </c>
      <c r="M6" s="158">
        <f>VLOOKUP(試算シート!R16,所得計算!B42:C52,2,1)</f>
        <v>0</v>
      </c>
      <c r="N6" s="159">
        <f t="shared" si="0"/>
        <v>0</v>
      </c>
      <c r="O6" s="368">
        <f t="shared" si="3"/>
        <v>0</v>
      </c>
      <c r="P6" s="158">
        <f t="shared" si="1"/>
        <v>0</v>
      </c>
      <c r="Q6" s="369">
        <f t="shared" si="4"/>
        <v>0</v>
      </c>
      <c r="R6" s="160">
        <f t="shared" si="2"/>
        <v>0</v>
      </c>
      <c r="S6" s="107" t="str">
        <f>IF(J6="","",IF(AND(J3="",J4="",J5=""),"加入者３","、加入者３"))</f>
        <v/>
      </c>
    </row>
    <row r="7" spans="1:19">
      <c r="C7" s="234" t="s">
        <v>114</v>
      </c>
      <c r="D7" s="231">
        <v>5</v>
      </c>
      <c r="E7" s="235" t="s">
        <v>113</v>
      </c>
      <c r="F7" s="231">
        <v>5</v>
      </c>
      <c r="J7" s="139" t="str">
        <f>IF(D22=1,IF(P7&gt;0,IF(L7=TRUE,"加入者４ ",""),""),"")</f>
        <v/>
      </c>
      <c r="K7" s="108" t="b">
        <v>0</v>
      </c>
      <c r="L7" s="108" t="b">
        <f>AND(D22=1,K7=TRUE,C22&gt;1,C22&lt;6)</f>
        <v>0</v>
      </c>
      <c r="M7" s="158">
        <f>VLOOKUP(試算シート!R18,所得計算!B55:C65,2,1)</f>
        <v>0</v>
      </c>
      <c r="N7" s="159">
        <f t="shared" si="0"/>
        <v>0</v>
      </c>
      <c r="O7" s="368">
        <f t="shared" si="3"/>
        <v>0</v>
      </c>
      <c r="P7" s="158">
        <f t="shared" si="1"/>
        <v>0</v>
      </c>
      <c r="Q7" s="369">
        <f t="shared" si="4"/>
        <v>0</v>
      </c>
      <c r="R7" s="160">
        <f t="shared" si="2"/>
        <v>0</v>
      </c>
      <c r="S7" s="107" t="str">
        <f>IF(J7="","",IF(AND(J3="",J4="",J5="",J6=""),"加入者４","、加入者４"))</f>
        <v/>
      </c>
    </row>
    <row r="8" spans="1:19">
      <c r="C8" s="234" t="s">
        <v>88</v>
      </c>
      <c r="D8" s="232">
        <v>6</v>
      </c>
      <c r="E8" s="234" t="s">
        <v>114</v>
      </c>
      <c r="F8" s="232">
        <v>6</v>
      </c>
      <c r="J8" s="139" t="str">
        <f>IF(D23=1,IF(P8&gt;0,IF(L8=TRUE,"加入者５ ",""),""),"")</f>
        <v/>
      </c>
      <c r="K8" s="108" t="b">
        <v>0</v>
      </c>
      <c r="L8" s="108" t="b">
        <f>AND(D23=1,K8=TRUE,C23&gt;1,C23&lt;6)</f>
        <v>0</v>
      </c>
      <c r="M8" s="158">
        <f>VLOOKUP(試算シート!R20,所得計算!B68:C78,2,1)</f>
        <v>0</v>
      </c>
      <c r="N8" s="159">
        <f t="shared" si="0"/>
        <v>0</v>
      </c>
      <c r="O8" s="368">
        <f t="shared" si="3"/>
        <v>0</v>
      </c>
      <c r="P8" s="158">
        <f t="shared" si="1"/>
        <v>0</v>
      </c>
      <c r="Q8" s="369">
        <f t="shared" si="4"/>
        <v>0</v>
      </c>
      <c r="R8" s="160">
        <f t="shared" si="2"/>
        <v>0</v>
      </c>
      <c r="S8" s="107" t="str">
        <f>IF(J8="","",IF(AND(J3="",J4="",J5="",J6="",J7=""),"加入者５","、加入者５"))</f>
        <v/>
      </c>
    </row>
    <row r="9" spans="1:19">
      <c r="B9" s="111"/>
      <c r="C9" s="91"/>
      <c r="H9" s="91"/>
      <c r="I9" s="91"/>
      <c r="J9" s="91"/>
      <c r="K9" s="91"/>
      <c r="L9" s="151"/>
      <c r="M9" s="153"/>
      <c r="N9" s="154"/>
      <c r="O9" s="91"/>
    </row>
    <row r="10" spans="1:19" ht="30" customHeight="1">
      <c r="B10" s="112" t="s">
        <v>24</v>
      </c>
      <c r="C10" s="113"/>
      <c r="D10" s="113"/>
      <c r="E10" s="113"/>
      <c r="F10" s="113"/>
      <c r="L10" s="155"/>
    </row>
    <row r="11" spans="1:19" ht="30" customHeight="1">
      <c r="B11" s="211"/>
      <c r="C11" s="212" t="s">
        <v>15</v>
      </c>
      <c r="D11" s="212" t="s">
        <v>18</v>
      </c>
      <c r="E11" s="212" t="s">
        <v>152</v>
      </c>
      <c r="F11" s="213" t="s">
        <v>19</v>
      </c>
      <c r="G11" s="213" t="s">
        <v>41</v>
      </c>
    </row>
    <row r="12" spans="1:19" ht="30" customHeight="1">
      <c r="B12" s="114" t="s">
        <v>146</v>
      </c>
      <c r="C12" s="115">
        <v>5.96E-2</v>
      </c>
      <c r="D12" s="116">
        <v>19980</v>
      </c>
      <c r="E12" s="116">
        <v>18863</v>
      </c>
      <c r="F12" s="116">
        <v>660000</v>
      </c>
      <c r="G12" s="147">
        <v>430000</v>
      </c>
    </row>
    <row r="13" spans="1:19" ht="30" customHeight="1">
      <c r="B13" s="114" t="s">
        <v>20</v>
      </c>
      <c r="C13" s="117">
        <v>3.2800000000000003E-2</v>
      </c>
      <c r="D13" s="118">
        <v>10334</v>
      </c>
      <c r="E13" s="118">
        <v>9757</v>
      </c>
      <c r="F13" s="118">
        <v>260000</v>
      </c>
      <c r="G13" s="119"/>
    </row>
    <row r="14" spans="1:19" ht="30" customHeight="1">
      <c r="B14" s="114" t="s">
        <v>10</v>
      </c>
      <c r="C14" s="120">
        <v>2.81E-2</v>
      </c>
      <c r="D14" s="121">
        <v>10386</v>
      </c>
      <c r="E14" s="121">
        <v>7912</v>
      </c>
      <c r="F14" s="121">
        <v>170000</v>
      </c>
      <c r="G14" s="119"/>
      <c r="J14" s="143"/>
    </row>
    <row r="15" spans="1:19">
      <c r="I15" s="122" t="str">
        <f>IF(SUM(M3:M8)=0,"",IF(ISNA(VLOOKUP(TRUE,L3:L8,1,FALSE)),"",J3&amp;S4&amp;S5&amp;S6&amp;S7&amp;S8&amp;"は給与所得を１００分の３０とみなして保険料を算出しています。"))</f>
        <v/>
      </c>
    </row>
    <row r="16" spans="1:19">
      <c r="C16" s="156" t="s">
        <v>92</v>
      </c>
    </row>
    <row r="17" spans="1:22">
      <c r="A17" s="107" t="s">
        <v>89</v>
      </c>
      <c r="B17" s="179"/>
      <c r="C17" s="236" t="s">
        <v>36</v>
      </c>
      <c r="D17" s="236" t="s">
        <v>26</v>
      </c>
      <c r="E17" s="236" t="s">
        <v>28</v>
      </c>
      <c r="F17" s="175" t="s">
        <v>70</v>
      </c>
      <c r="G17" s="175" t="s">
        <v>71</v>
      </c>
      <c r="H17" s="366" t="s">
        <v>156</v>
      </c>
      <c r="I17" s="175" t="s">
        <v>72</v>
      </c>
      <c r="J17" s="175" t="s">
        <v>6</v>
      </c>
      <c r="K17" s="175" t="s">
        <v>80</v>
      </c>
      <c r="L17" s="175" t="s">
        <v>33</v>
      </c>
      <c r="M17" s="175" t="s">
        <v>34</v>
      </c>
      <c r="N17" s="175" t="s">
        <v>35</v>
      </c>
      <c r="O17" s="180" t="s">
        <v>79</v>
      </c>
    </row>
    <row r="18" spans="1:22">
      <c r="A18" s="107">
        <v>1</v>
      </c>
      <c r="B18" s="123" t="s">
        <v>0</v>
      </c>
      <c r="C18" s="228">
        <v>4</v>
      </c>
      <c r="D18" s="229">
        <f>IF(OR(A18=2,C18=6),0,1)</f>
        <v>1</v>
      </c>
      <c r="E18" s="229">
        <f>IF(A18=2,0,IF(C18=4,1,0))</f>
        <v>1</v>
      </c>
      <c r="F18" s="220">
        <f>R3</f>
        <v>0</v>
      </c>
      <c r="G18" s="220">
        <f>IF(C18&gt;4,VLOOKUP(試算シート!Y10,所得計算!G4:H8,2,1),VLOOKUP(試算シート!Y10,所得計算!E4:F8,2,1))</f>
        <v>0</v>
      </c>
      <c r="H18" s="367">
        <f>IF(C18&lt;5,G18,MAX(G18-150000,0))</f>
        <v>0</v>
      </c>
      <c r="I18" s="220">
        <f>試算シート!AF10</f>
        <v>0</v>
      </c>
      <c r="J18" s="221">
        <f>F18+G18+I18</f>
        <v>0</v>
      </c>
      <c r="K18" s="290">
        <f>IF(C18&lt;5,F18+G18+I18,Q3+H18+I18)</f>
        <v>0</v>
      </c>
      <c r="L18" s="221">
        <f t="shared" ref="L18:L23" si="5">IF(D18=0,0,IF(J18-430000&lt;=0,0,(J18-430000)*$C$12))</f>
        <v>0</v>
      </c>
      <c r="M18" s="221">
        <f t="shared" ref="M18:M23" si="6">IF(D18=0,0,IF(J18-430000&lt;=0,0,(J18-430000)*$C$13))</f>
        <v>0</v>
      </c>
      <c r="N18" s="222">
        <f t="shared" ref="N18:N23" si="7">IF(E18=0,0,IF(J18-430000&lt;=0,0,(J18-430000)*$C$14))</f>
        <v>0</v>
      </c>
      <c r="O18" s="107">
        <f t="shared" ref="O18:O23" si="8">IF(OR(F18&gt;0,G18&gt;0,0),1,0)</f>
        <v>0</v>
      </c>
    </row>
    <row r="19" spans="1:22">
      <c r="A19" s="365"/>
      <c r="B19" s="125" t="s">
        <v>1</v>
      </c>
      <c r="C19" s="228">
        <v>1</v>
      </c>
      <c r="D19" s="229">
        <f>IF(C19=1,0,1)</f>
        <v>0</v>
      </c>
      <c r="E19" s="229">
        <f>IF(C19=5,1,0)</f>
        <v>0</v>
      </c>
      <c r="F19" s="220">
        <f>IF(D19=0,0,R4)</f>
        <v>0</v>
      </c>
      <c r="G19" s="220">
        <f>IF(D19=0,0,IF(C19=6,VLOOKUP(試算シート!Y12,所得計算!G17:H21,2,1),VLOOKUP(試算シート!Y12,所得計算!E17:F21,2,1)))</f>
        <v>0</v>
      </c>
      <c r="H19" s="367">
        <f>IF(C19&lt;6,G19,MAX(G19-150000,0))</f>
        <v>0</v>
      </c>
      <c r="I19" s="220">
        <f>IF(D19=0,0,試算シート!AF12)</f>
        <v>0</v>
      </c>
      <c r="J19" s="221">
        <f t="shared" ref="J19:J23" si="9">F19+G19+I19</f>
        <v>0</v>
      </c>
      <c r="K19" s="290">
        <f>IF(C19&lt;6,F19+G19+I19,Q4+H19+I19)</f>
        <v>0</v>
      </c>
      <c r="L19" s="221">
        <f t="shared" si="5"/>
        <v>0</v>
      </c>
      <c r="M19" s="221">
        <f t="shared" si="6"/>
        <v>0</v>
      </c>
      <c r="N19" s="222">
        <f t="shared" si="7"/>
        <v>0</v>
      </c>
      <c r="O19" s="107">
        <f t="shared" si="8"/>
        <v>0</v>
      </c>
    </row>
    <row r="20" spans="1:22">
      <c r="A20" s="365"/>
      <c r="B20" s="125" t="s">
        <v>2</v>
      </c>
      <c r="C20" s="228">
        <v>1</v>
      </c>
      <c r="D20" s="229">
        <f t="shared" ref="D20:D23" si="10">IF(C20=1,0,1)</f>
        <v>0</v>
      </c>
      <c r="E20" s="229">
        <f t="shared" ref="E20:E23" si="11">IF(C20=5,1,0)</f>
        <v>0</v>
      </c>
      <c r="F20" s="220">
        <f>IF(D20=0,0,R5)</f>
        <v>0</v>
      </c>
      <c r="G20" s="220">
        <f>IF(D20=0,0,IF(C20=6,VLOOKUP(試算シート!Y14,所得計算!G30:H34,2,1),VLOOKUP(試算シート!Y14,所得計算!E30:F34,2,1)))</f>
        <v>0</v>
      </c>
      <c r="H20" s="367">
        <f t="shared" ref="H20:H23" si="12">IF(C20&lt;6,G20,MAX(G20-150000,0))</f>
        <v>0</v>
      </c>
      <c r="I20" s="220">
        <f>IF(D20=0,0,試算シート!AF14)</f>
        <v>0</v>
      </c>
      <c r="J20" s="221">
        <f t="shared" si="9"/>
        <v>0</v>
      </c>
      <c r="K20" s="290">
        <f t="shared" ref="K20:K23" si="13">IF(C20&lt;6,F20+G20+I20,Q5+H20+I20)</f>
        <v>0</v>
      </c>
      <c r="L20" s="221">
        <f t="shared" si="5"/>
        <v>0</v>
      </c>
      <c r="M20" s="221">
        <f t="shared" si="6"/>
        <v>0</v>
      </c>
      <c r="N20" s="222">
        <f t="shared" si="7"/>
        <v>0</v>
      </c>
      <c r="O20" s="107">
        <f t="shared" si="8"/>
        <v>0</v>
      </c>
    </row>
    <row r="21" spans="1:22">
      <c r="A21" s="365"/>
      <c r="B21" s="125" t="s">
        <v>3</v>
      </c>
      <c r="C21" s="228">
        <v>1</v>
      </c>
      <c r="D21" s="229">
        <f t="shared" si="10"/>
        <v>0</v>
      </c>
      <c r="E21" s="229">
        <f t="shared" si="11"/>
        <v>0</v>
      </c>
      <c r="F21" s="220">
        <f>IF(D21=0,0,R6)</f>
        <v>0</v>
      </c>
      <c r="G21" s="220">
        <f>IF(D21=0,0,IF(C21=6,VLOOKUP(試算シート!Y16,所得計算!G43:H47,2,1),VLOOKUP(試算シート!Y16,所得計算!E43:F47,2,1)))</f>
        <v>0</v>
      </c>
      <c r="H21" s="367">
        <f t="shared" si="12"/>
        <v>0</v>
      </c>
      <c r="I21" s="220">
        <f>IF(D21=0,0,試算シート!AF16)</f>
        <v>0</v>
      </c>
      <c r="J21" s="221">
        <f t="shared" si="9"/>
        <v>0</v>
      </c>
      <c r="K21" s="290">
        <f t="shared" si="13"/>
        <v>0</v>
      </c>
      <c r="L21" s="221">
        <f t="shared" si="5"/>
        <v>0</v>
      </c>
      <c r="M21" s="221">
        <f t="shared" si="6"/>
        <v>0</v>
      </c>
      <c r="N21" s="222">
        <f t="shared" si="7"/>
        <v>0</v>
      </c>
      <c r="O21" s="107">
        <f t="shared" si="8"/>
        <v>0</v>
      </c>
    </row>
    <row r="22" spans="1:22">
      <c r="A22" s="365"/>
      <c r="B22" s="125" t="s">
        <v>4</v>
      </c>
      <c r="C22" s="228">
        <v>1</v>
      </c>
      <c r="D22" s="229">
        <f t="shared" si="10"/>
        <v>0</v>
      </c>
      <c r="E22" s="229">
        <f t="shared" si="11"/>
        <v>0</v>
      </c>
      <c r="F22" s="220">
        <f>IF(D22=0,0,R7)</f>
        <v>0</v>
      </c>
      <c r="G22" s="220">
        <f>IF(D22=0,0,IF(C22=6,VLOOKUP(試算シート!Y18,所得計算!G56:H60,2,1),VLOOKUP(試算シート!Y18,所得計算!E56:F60,2,1)))</f>
        <v>0</v>
      </c>
      <c r="H22" s="367">
        <f t="shared" si="12"/>
        <v>0</v>
      </c>
      <c r="I22" s="220">
        <f>IF(D22=0,0,試算シート!AF18)</f>
        <v>0</v>
      </c>
      <c r="J22" s="221">
        <f t="shared" si="9"/>
        <v>0</v>
      </c>
      <c r="K22" s="290">
        <f t="shared" si="13"/>
        <v>0</v>
      </c>
      <c r="L22" s="221">
        <f t="shared" si="5"/>
        <v>0</v>
      </c>
      <c r="M22" s="221">
        <f t="shared" si="6"/>
        <v>0</v>
      </c>
      <c r="N22" s="222">
        <f t="shared" si="7"/>
        <v>0</v>
      </c>
      <c r="O22" s="107">
        <f t="shared" si="8"/>
        <v>0</v>
      </c>
    </row>
    <row r="23" spans="1:22">
      <c r="A23" s="365"/>
      <c r="B23" s="125" t="s">
        <v>5</v>
      </c>
      <c r="C23" s="228">
        <v>1</v>
      </c>
      <c r="D23" s="229">
        <f t="shared" si="10"/>
        <v>0</v>
      </c>
      <c r="E23" s="229">
        <f t="shared" si="11"/>
        <v>0</v>
      </c>
      <c r="F23" s="220">
        <f>IF(D23=0,0,R8)</f>
        <v>0</v>
      </c>
      <c r="G23" s="220">
        <f>IF(D23=0,0,IF(C23=6,VLOOKUP(試算シート!Y20,所得計算!G69:H73,2,1),VLOOKUP(試算シート!Y20,所得計算!E69:F73,2,1)))</f>
        <v>0</v>
      </c>
      <c r="H23" s="367">
        <f t="shared" si="12"/>
        <v>0</v>
      </c>
      <c r="I23" s="220">
        <f>IF(D23=0,0,試算シート!AF20)</f>
        <v>0</v>
      </c>
      <c r="J23" s="221">
        <f t="shared" si="9"/>
        <v>0</v>
      </c>
      <c r="K23" s="290">
        <f t="shared" si="13"/>
        <v>0</v>
      </c>
      <c r="L23" s="221">
        <f t="shared" si="5"/>
        <v>0</v>
      </c>
      <c r="M23" s="221">
        <f t="shared" si="6"/>
        <v>0</v>
      </c>
      <c r="N23" s="222">
        <f t="shared" si="7"/>
        <v>0</v>
      </c>
      <c r="O23" s="107">
        <f t="shared" si="8"/>
        <v>0</v>
      </c>
    </row>
    <row r="24" spans="1:22">
      <c r="B24" s="125" t="s">
        <v>13</v>
      </c>
      <c r="C24" s="124"/>
      <c r="D24" s="125">
        <f t="shared" ref="D24:I24" si="14">SUM(D18:D23)</f>
        <v>1</v>
      </c>
      <c r="E24" s="125">
        <f t="shared" si="14"/>
        <v>1</v>
      </c>
      <c r="F24" s="220">
        <f t="shared" si="14"/>
        <v>0</v>
      </c>
      <c r="G24" s="220">
        <f t="shared" si="14"/>
        <v>0</v>
      </c>
      <c r="H24" s="220">
        <f t="shared" si="14"/>
        <v>0</v>
      </c>
      <c r="I24" s="220">
        <f t="shared" si="14"/>
        <v>0</v>
      </c>
      <c r="J24" s="221">
        <f>SUM(F24:I24)</f>
        <v>0</v>
      </c>
      <c r="K24" s="221">
        <f>SUM(K18:K23)</f>
        <v>0</v>
      </c>
      <c r="L24" s="221">
        <f>ROUNDDOWN(SUM(L18:L23),0)</f>
        <v>0</v>
      </c>
      <c r="M24" s="221">
        <f>ROUNDDOWN(SUM(M18:M23),0)</f>
        <v>0</v>
      </c>
      <c r="N24" s="221">
        <f>ROUNDDOWN(SUM(N18:N23),0)</f>
        <v>0</v>
      </c>
      <c r="O24" s="107">
        <f>SUM(O18:O23)</f>
        <v>0</v>
      </c>
    </row>
    <row r="25" spans="1:22" ht="16.5" thickBot="1">
      <c r="B25" s="127"/>
      <c r="C25" s="128"/>
      <c r="D25" s="127"/>
      <c r="E25" s="127"/>
      <c r="F25" s="129"/>
      <c r="G25" s="129"/>
    </row>
    <row r="26" spans="1:22">
      <c r="B26" s="175" t="s">
        <v>31</v>
      </c>
      <c r="C26" s="175" t="s">
        <v>153</v>
      </c>
      <c r="D26" s="175" t="s">
        <v>30</v>
      </c>
      <c r="E26" s="175" t="s">
        <v>154</v>
      </c>
      <c r="F26" s="175" t="s">
        <v>29</v>
      </c>
      <c r="G26" s="176" t="s">
        <v>155</v>
      </c>
      <c r="H26" s="254" t="s">
        <v>121</v>
      </c>
      <c r="I26" s="177" t="s">
        <v>147</v>
      </c>
      <c r="J26" s="241" t="s">
        <v>117</v>
      </c>
      <c r="K26" s="178" t="s">
        <v>118</v>
      </c>
      <c r="L26" s="107" t="s">
        <v>124</v>
      </c>
      <c r="M26" s="265" t="s">
        <v>147</v>
      </c>
      <c r="N26" s="256" t="s">
        <v>117</v>
      </c>
      <c r="O26" s="266" t="s">
        <v>118</v>
      </c>
      <c r="R26" s="182" t="s">
        <v>93</v>
      </c>
      <c r="S26" s="182" t="s">
        <v>94</v>
      </c>
      <c r="T26" s="182" t="s">
        <v>95</v>
      </c>
      <c r="U26" s="182" t="s">
        <v>96</v>
      </c>
    </row>
    <row r="27" spans="1:22">
      <c r="B27" s="142">
        <f>IF(D18=0,0,ROUNDUP(D12*VLOOKUP("○",G46:H49,2,FALSE),0))</f>
        <v>13986</v>
      </c>
      <c r="C27" s="109"/>
      <c r="D27" s="142">
        <f>IF(D18=0,0,ROUNDUP(D13*VLOOKUP("○",G46:I49,2,FALSE),0))</f>
        <v>7234</v>
      </c>
      <c r="E27" s="109"/>
      <c r="F27" s="142">
        <f>IF(E18=0,0,ROUNDUP(D14*VLOOKUP("○",G46:I49,2,FALSE),0))</f>
        <v>7271</v>
      </c>
      <c r="G27" s="148"/>
      <c r="H27" s="248" t="str">
        <f>IF(O36=0,"",O36)</f>
        <v/>
      </c>
      <c r="I27" s="109" t="str">
        <f>IF(H27="","",IF(H27=1,0,IF(AND(H27=2,H36=1),0,IF(OR(AND(H27=2,H36=""),(AND(H27&gt;2,H36=1))),IF($D$12=B27,ROUNDUP($D$12,0)*0.5,ROUNDUP(($D$12-B27)*0.5,0)),IF(AND(H27&gt;2,H36=""),IF($D$12=B27,ROUNDUP($D$12,0),ROUNDUP(($D$12-B27),0)))))))</f>
        <v/>
      </c>
      <c r="J27" s="109" t="str">
        <f>IF(H27="","",IF(H27=1,0,IF(AND(H27=2,H36=1),0,IF(OR(AND(H27=2,H36=""),(AND(H27&gt;2,H36=1))),IF($D$13=D27,ROUNDUP($D$13,0)*0.5,ROUNDUP(($D$13-D27)*0.5,0)),IF(AND(H27&gt;2,H36=""),IF($D$13=D27,ROUNDUP($D$13,0),ROUNDUP(($D$13-D27),0)))))))</f>
        <v/>
      </c>
      <c r="K27" s="239">
        <f>SUM(I27:J27)</f>
        <v>0</v>
      </c>
      <c r="M27" s="267" t="str">
        <f t="shared" ref="M27:N32" si="15">IF(I27="","",IF(I36="",I27,IF(I27-I36&gt;=0,I27-I36,"")))</f>
        <v/>
      </c>
      <c r="N27" s="251" t="str">
        <f t="shared" si="15"/>
        <v/>
      </c>
      <c r="O27" s="252">
        <f>SUM(M27:N27)</f>
        <v>0</v>
      </c>
      <c r="Q27" s="107" t="s">
        <v>123</v>
      </c>
      <c r="R27" s="223">
        <f>IF(D24=0,0,IF(D24*D12+E12+L24-B33-C33-I42&gt;600000,600000,D24*D12+E12+L24-B33-C33-I42))</f>
        <v>11652</v>
      </c>
      <c r="S27" s="223">
        <f>IF(D24=0,0,IF(D24*D13+E13+M24-D33-E33-J42&gt;190000,190000,D24*D13+E13+M24-D33-E33-J42))</f>
        <v>6027</v>
      </c>
      <c r="T27" s="223">
        <f>IF(N24+F33+G33&gt;170000,170000,N24+F33+G33)</f>
        <v>12810</v>
      </c>
      <c r="U27" s="223">
        <f>SUM(R27:T27)</f>
        <v>30489</v>
      </c>
    </row>
    <row r="28" spans="1:22">
      <c r="B28" s="142">
        <f>IF(D19=0,0,ROUNDUP(D12*VLOOKUP("○",G46:I49,2,FALSE),0))</f>
        <v>0</v>
      </c>
      <c r="C28" s="142"/>
      <c r="D28" s="142">
        <f>IF(D19=0,0,ROUNDUP(D13*VLOOKUP("○",G46:I49,2,FALSE),0))</f>
        <v>0</v>
      </c>
      <c r="E28" s="109"/>
      <c r="F28" s="142">
        <f>IF(E19=0,0,ROUNDUP(D14*VLOOKUP("○",G46:I49,2,FALSE),0))</f>
        <v>0</v>
      </c>
      <c r="G28" s="148"/>
      <c r="H28" s="248" t="str">
        <f t="shared" ref="H28:H32" si="16">IF(O37=0,"",O37)</f>
        <v/>
      </c>
      <c r="I28" s="109" t="str">
        <f>IF(H28="","",IF(H28=1,0,IF(AND(H28=2,H37=1),0,IF(OR(AND(H28=2,H37=""),(AND(H28&gt;2,H37=1))),IF($D$12=B28,ROUNDUP($D$12,0)*0.5,ROUNDUP(($D$12-B28)*0.5,0)),IF(AND(H28&gt;2,H37=""),IF($D$12=B28,ROUNDUP($D$12,0),ROUNDUP(($D$12-B28),0)))))))</f>
        <v/>
      </c>
      <c r="J28" s="242" t="str">
        <f>IF(H28="","",IF(H28=1,0,IF(AND(H28=2,H37=1),0,IF(OR(AND(H28=2,H37=""),(AND(H28&gt;2,H37=1))),IF($D$13=D28,ROUNDUP($D$13,0)*0.5,ROUNDUP(($D$13-D28)*0.5,0)),IF(AND(H28&gt;2,H37=""),IF($D$13=D28,ROUNDUP($D$13,0),ROUNDUP(($D$13-D28),0)))))))</f>
        <v/>
      </c>
      <c r="K28" s="240">
        <f>SUM(I28:J28)</f>
        <v>0</v>
      </c>
      <c r="M28" s="267" t="str">
        <f t="shared" si="15"/>
        <v/>
      </c>
      <c r="N28" s="251" t="str">
        <f t="shared" si="15"/>
        <v/>
      </c>
      <c r="O28" s="252">
        <f t="shared" ref="O28:O32" si="17">SUM(M28:N28)</f>
        <v>0</v>
      </c>
      <c r="Q28" s="107" t="s">
        <v>97</v>
      </c>
      <c r="R28" s="223">
        <f>ROUNDDOWN(R27,-2)</f>
        <v>11600</v>
      </c>
      <c r="S28" s="223">
        <f t="shared" ref="S28:T28" si="18">ROUNDDOWN(S27,-2)</f>
        <v>6000</v>
      </c>
      <c r="T28" s="223">
        <f t="shared" si="18"/>
        <v>12800</v>
      </c>
      <c r="U28" s="223">
        <f>SUM(R28:T28)</f>
        <v>30400</v>
      </c>
      <c r="V28" s="107" t="s">
        <v>104</v>
      </c>
    </row>
    <row r="29" spans="1:22">
      <c r="B29" s="142">
        <f>IF(D20=0,0,ROUNDUP(D12*VLOOKUP("○",G46:I49,2,FALSE),0))</f>
        <v>0</v>
      </c>
      <c r="C29" s="142"/>
      <c r="D29" s="142">
        <f>IF(D20=0,0,ROUNDUP(D13*VLOOKUP("○",G46:I49,2,FALSE),0))</f>
        <v>0</v>
      </c>
      <c r="E29" s="109"/>
      <c r="F29" s="142">
        <f>IF(E20=0,0,ROUNDUP(D14*VLOOKUP("○",G46:I49,2,FALSE),0))</f>
        <v>0</v>
      </c>
      <c r="G29" s="148"/>
      <c r="H29" s="248" t="str">
        <f t="shared" si="16"/>
        <v/>
      </c>
      <c r="I29" s="109" t="str">
        <f t="shared" ref="I29:I32" si="19">IF(H29="","",IF(H29=1,0,IF(AND(H29=2,H38=1),0,IF(OR(AND(H29=2,H38=""),(AND(H29&gt;2,H38=1))),IF($D$12=B29,ROUNDUP($D$12,0)*0.5,ROUNDUP(($D$12-B29)*0.5,0)),IF(AND(H29&gt;2,H38=""),IF($D$12=B29,ROUNDUP($D$12,0),ROUNDUP(($D$12-B29),0)))))))</f>
        <v/>
      </c>
      <c r="J29" s="242" t="str">
        <f t="shared" ref="J29:J32" si="20">IF(H29="","",IF(H29=1,0,IF(AND(H29=2,H38=1),0,IF(OR(AND(H29=2,H38=""),(AND(H29&gt;2,H38=1))),IF($D$13=D29,ROUNDUP($D$13,0)*0.5,ROUNDUP(($D$13-D29)*0.5,0)),IF(AND(H29&gt;2,H38=""),IF($D$13=D29,ROUNDUP($D$13,0),ROUNDUP(($D$13-D29),0)))))))</f>
        <v/>
      </c>
      <c r="K29" s="240">
        <f t="shared" ref="K29:K32" si="21">SUM(I29:J29)</f>
        <v>0</v>
      </c>
      <c r="M29" s="267" t="str">
        <f t="shared" si="15"/>
        <v/>
      </c>
      <c r="N29" s="251" t="str">
        <f t="shared" si="15"/>
        <v/>
      </c>
      <c r="O29" s="252">
        <f t="shared" si="17"/>
        <v>0</v>
      </c>
      <c r="R29" s="223"/>
      <c r="S29" s="223"/>
      <c r="T29" s="223"/>
      <c r="U29" s="223"/>
    </row>
    <row r="30" spans="1:22">
      <c r="B30" s="142">
        <f>IF(D21=0,0,ROUNDUP(D12*VLOOKUP("○",G46:I49,2,FALSE),0))</f>
        <v>0</v>
      </c>
      <c r="C30" s="142"/>
      <c r="D30" s="142">
        <f>IF(D21=0,0,ROUNDUP(D13*VLOOKUP("○",G46:I49,2,FALSE),0))</f>
        <v>0</v>
      </c>
      <c r="E30" s="109"/>
      <c r="F30" s="142">
        <f>IF(E21=0,0,ROUNDUP(D14*VLOOKUP("○",G46:I49,2,FALSE),0))</f>
        <v>0</v>
      </c>
      <c r="G30" s="148"/>
      <c r="H30" s="248" t="str">
        <f>IF(O39=0,"",O39)</f>
        <v/>
      </c>
      <c r="I30" s="109" t="str">
        <f t="shared" si="19"/>
        <v/>
      </c>
      <c r="J30" s="242" t="str">
        <f t="shared" si="20"/>
        <v/>
      </c>
      <c r="K30" s="240">
        <f t="shared" si="21"/>
        <v>0</v>
      </c>
      <c r="M30" s="267" t="str">
        <f t="shared" si="15"/>
        <v/>
      </c>
      <c r="N30" s="251" t="str">
        <f t="shared" si="15"/>
        <v/>
      </c>
      <c r="O30" s="252">
        <f t="shared" si="17"/>
        <v>0</v>
      </c>
      <c r="Q30" s="107" t="s">
        <v>98</v>
      </c>
      <c r="R30" s="223">
        <f>R27-I33</f>
        <v>11652</v>
      </c>
      <c r="S30" s="223">
        <f>S27-J33</f>
        <v>6027</v>
      </c>
      <c r="T30" s="223">
        <f>T27</f>
        <v>12810</v>
      </c>
      <c r="U30" s="223">
        <f>SUM(R30:T30)</f>
        <v>30489</v>
      </c>
    </row>
    <row r="31" spans="1:22">
      <c r="B31" s="142">
        <f>IF(D22=0,0,ROUNDUP(D12*VLOOKUP("○",G46:I49,2,FALSE),0))</f>
        <v>0</v>
      </c>
      <c r="C31" s="142"/>
      <c r="D31" s="142">
        <f>IF(D22=0,0,ROUNDUP(D13*VLOOKUP("○",G46:I49,2,FALSE),0))</f>
        <v>0</v>
      </c>
      <c r="E31" s="109"/>
      <c r="F31" s="142">
        <f>IF(E22=0,0,ROUNDUP(D14*VLOOKUP("○",G46:I49,2,FALSE),0))</f>
        <v>0</v>
      </c>
      <c r="G31" s="148"/>
      <c r="H31" s="248" t="str">
        <f t="shared" si="16"/>
        <v/>
      </c>
      <c r="I31" s="109" t="str">
        <f t="shared" si="19"/>
        <v/>
      </c>
      <c r="J31" s="242" t="str">
        <f t="shared" si="20"/>
        <v/>
      </c>
      <c r="K31" s="240">
        <f t="shared" si="21"/>
        <v>0</v>
      </c>
      <c r="M31" s="267" t="str">
        <f t="shared" si="15"/>
        <v/>
      </c>
      <c r="N31" s="251" t="str">
        <f t="shared" si="15"/>
        <v/>
      </c>
      <c r="O31" s="252">
        <f t="shared" si="17"/>
        <v>0</v>
      </c>
      <c r="Q31" s="107" t="s">
        <v>97</v>
      </c>
      <c r="R31" s="223">
        <f>ROUNDDOWN(R30,-2)</f>
        <v>11600</v>
      </c>
      <c r="S31" s="223">
        <f t="shared" ref="S31" si="22">ROUNDDOWN(S30,-2)</f>
        <v>6000</v>
      </c>
      <c r="T31" s="223">
        <f t="shared" ref="T31" si="23">ROUNDDOWN(T30,-2)</f>
        <v>12800</v>
      </c>
      <c r="U31" s="223">
        <f>SUM(R31:T31)</f>
        <v>30400</v>
      </c>
      <c r="V31" s="107" t="s">
        <v>105</v>
      </c>
    </row>
    <row r="32" spans="1:22">
      <c r="B32" s="142">
        <f>IF(D23=0,0,ROUNDUP(D12*VLOOKUP("○",G46:I49,2,FALSE),0))</f>
        <v>0</v>
      </c>
      <c r="C32" s="142"/>
      <c r="D32" s="142">
        <f>IF(D23=0,0,ROUNDUP(D13*VLOOKUP("○",G46:I49,2,FALSE),0))</f>
        <v>0</v>
      </c>
      <c r="E32" s="109"/>
      <c r="F32" s="142">
        <f>IF(E23=0,0,ROUNDUP(D14*VLOOKUP("○",G46:I49,2,FALSE),0))</f>
        <v>0</v>
      </c>
      <c r="G32" s="148"/>
      <c r="H32" s="248" t="str">
        <f t="shared" si="16"/>
        <v/>
      </c>
      <c r="I32" s="109" t="str">
        <f t="shared" si="19"/>
        <v/>
      </c>
      <c r="J32" s="242" t="str">
        <f t="shared" si="20"/>
        <v/>
      </c>
      <c r="K32" s="240">
        <f t="shared" si="21"/>
        <v>0</v>
      </c>
      <c r="M32" s="267" t="str">
        <f t="shared" si="15"/>
        <v/>
      </c>
      <c r="N32" s="251" t="str">
        <f t="shared" si="15"/>
        <v/>
      </c>
      <c r="O32" s="252">
        <f t="shared" si="17"/>
        <v>0</v>
      </c>
    </row>
    <row r="33" spans="1:21" ht="16.5" thickBot="1">
      <c r="A33" s="107" t="s">
        <v>78</v>
      </c>
      <c r="B33" s="170">
        <f>SUM(B27:B32)</f>
        <v>13986</v>
      </c>
      <c r="C33" s="170">
        <f>ROUNDUP(E12*VLOOKUP("○",G46:I49,2,FALSE),0)</f>
        <v>13205</v>
      </c>
      <c r="D33" s="170">
        <f>SUM(D27:D32)</f>
        <v>7234</v>
      </c>
      <c r="E33" s="170">
        <f>ROUNDUP(E13*VLOOKUP("○",G46:I49,2,FALSE),0)</f>
        <v>6830</v>
      </c>
      <c r="F33" s="170">
        <f>SUM(F27:F32)</f>
        <v>7271</v>
      </c>
      <c r="G33" s="171">
        <f>IF(C37&gt;0,ROUNDUP(E14*VLOOKUP("○",G46:I49,2,FALSE),0),0)</f>
        <v>5539</v>
      </c>
      <c r="H33" s="172" t="str">
        <f>IF(COUNTIF(H27:H32,2),"〇","")</f>
        <v/>
      </c>
      <c r="I33" s="173">
        <f>SUM(I27:I32)</f>
        <v>0</v>
      </c>
      <c r="J33" s="173">
        <f>SUM(J27:J32)</f>
        <v>0</v>
      </c>
      <c r="K33" s="174">
        <f>SUM(K27:K32)</f>
        <v>0</v>
      </c>
      <c r="M33" s="262">
        <f>SUM(M27:M32)</f>
        <v>0</v>
      </c>
      <c r="N33" s="261">
        <f>SUM(N27:N32)</f>
        <v>0</v>
      </c>
      <c r="O33" s="263">
        <f>SUM(O27:O32)</f>
        <v>0</v>
      </c>
      <c r="Q33" s="107" t="s">
        <v>103</v>
      </c>
      <c r="U33" s="225">
        <f>U28-U31</f>
        <v>0</v>
      </c>
    </row>
    <row r="34" spans="1:21" ht="16.5" thickBot="1">
      <c r="B34" s="91"/>
      <c r="C34" s="91"/>
      <c r="D34" s="91"/>
      <c r="E34" s="91"/>
      <c r="F34" s="91"/>
      <c r="G34" s="91"/>
      <c r="I34" s="143"/>
      <c r="J34" s="143"/>
      <c r="K34" s="181"/>
      <c r="Q34" s="107" t="s">
        <v>99</v>
      </c>
      <c r="R34" s="182"/>
      <c r="S34" s="185"/>
      <c r="T34" s="107" t="s">
        <v>102</v>
      </c>
    </row>
    <row r="35" spans="1:21">
      <c r="B35" s="130" t="s">
        <v>27</v>
      </c>
      <c r="C35" s="126">
        <f>$D$18</f>
        <v>1</v>
      </c>
      <c r="H35" s="254" t="s">
        <v>116</v>
      </c>
      <c r="I35" s="255" t="s">
        <v>148</v>
      </c>
      <c r="J35" s="256" t="s">
        <v>120</v>
      </c>
      <c r="K35" s="257" t="s">
        <v>119</v>
      </c>
      <c r="M35" s="264" t="s">
        <v>111</v>
      </c>
      <c r="N35" s="264" t="s">
        <v>122</v>
      </c>
      <c r="Q35" s="107" t="s">
        <v>100</v>
      </c>
      <c r="R35" s="224">
        <f>U33-S35</f>
        <v>0</v>
      </c>
      <c r="S35" s="224">
        <f>IF(U33=0,0,IF(ROUNDDOWN(I33,-2)+ROUNDDOWN(J33,-2)=U33,ROUNDDOWN(J33,-2),IF(ROUND(I33,-2)+ROUND(J33,-2)=U33,ROUND(J33,-2),IF(ROUNDUP(I33,-2)+ROUNDUP(J33,-2)=U33,ROUNDUP(J33,-2),IF(RIGHT(I33,2)&gt;RIGHT(J33,2),ROUNDDOWN(J33,-2),ROUNDUP(J33,-2))))))</f>
        <v>0</v>
      </c>
    </row>
    <row r="36" spans="1:21">
      <c r="B36" s="130" t="s">
        <v>25</v>
      </c>
      <c r="C36" s="108">
        <f>$D$18+$D$19+$D$20+$D$21+$D$22+$D$23</f>
        <v>1</v>
      </c>
      <c r="H36" s="248" t="str">
        <f>IF(C18=1,1,"")</f>
        <v/>
      </c>
      <c r="I36" s="250" t="str">
        <f>IF(H36="","",IF($D$12=B27,ROUNDUP($D$12,0)*0.5,ROUNDUP(($D$12-B27)*0.5,0)))</f>
        <v/>
      </c>
      <c r="J36" s="251" t="str">
        <f>IF(H36="","",IF($D$13=D27,ROUNDUP($D$13,0)*0.5,ROUNDUP(($D$13-D27)*0.5,0)))</f>
        <v/>
      </c>
      <c r="K36" s="252">
        <f>SUM(I36:J36)</f>
        <v>0</v>
      </c>
      <c r="M36" s="268" t="str">
        <f>IF(AND(A18=1,C18=2),1,"")</f>
        <v/>
      </c>
      <c r="N36" s="268" t="str">
        <f>IF(AND(A18=1,C18=1),IF(M41&lt;&gt;"",M41+1,IF(M40&lt;&gt;"",M40+1,IF(M39&lt;&gt;"",M39+1,IF(M38&lt;&gt;"",M38+1,IF(M37&lt;&gt;"",M37+1,IF(M36&lt;&gt;"",M36+1,1)))))),"")</f>
        <v/>
      </c>
      <c r="O36" s="233">
        <f>SUM(M36:N36)</f>
        <v>0</v>
      </c>
      <c r="R36" s="216"/>
      <c r="S36" s="217"/>
    </row>
    <row r="37" spans="1:21">
      <c r="B37" s="130" t="s">
        <v>28</v>
      </c>
      <c r="C37" s="108">
        <f>$E$18+$E$19+$E$20+$E$21+$E$22+$E$23</f>
        <v>1</v>
      </c>
      <c r="D37" s="143"/>
      <c r="E37" s="143"/>
      <c r="H37" s="248" t="str">
        <f>IF(C19=2,1,"")</f>
        <v/>
      </c>
      <c r="I37" s="251" t="str">
        <f>IF(H37="","",IF($D$12=B28,ROUNDUP($D$12,0)*0.5,ROUNDUP(($D$12-B28)*0.5,0)))</f>
        <v/>
      </c>
      <c r="J37" s="251" t="str">
        <f t="shared" ref="J37:J38" si="24">IF(H37="","",IF($D$13=D28,ROUNDUP($D$13,0)*0.5,ROUNDUP(($D$13-D28)*0.5,0)))</f>
        <v/>
      </c>
      <c r="K37" s="252">
        <f>SUM(I37:J37)</f>
        <v>0</v>
      </c>
      <c r="M37" s="268" t="str">
        <f>IF(C19=3,IF(M36=1,M36+1,1),"")</f>
        <v/>
      </c>
      <c r="N37" s="268" t="str">
        <f>IF(C19=2,IF(N36&lt;&gt;"",N36+1,IF(M41&lt;&gt;"",M41+1,IF(M40&lt;&gt;"",M40+1,IF(M39&lt;&gt;"",M39+1,IF(M38&lt;&gt;"",M38+1,IF(M37&lt;&gt;"",M37+1,IF(M36&lt;&gt;"",M36+1,1))))))),"")</f>
        <v/>
      </c>
      <c r="O37" s="233">
        <f t="shared" ref="O37:O41" si="25">SUM(M37:N37)</f>
        <v>0</v>
      </c>
    </row>
    <row r="38" spans="1:21">
      <c r="B38" s="238"/>
      <c r="C38" s="91"/>
      <c r="D38" s="143"/>
      <c r="E38" s="143"/>
      <c r="H38" s="248" t="str">
        <f>IF(C20=2,1,"")</f>
        <v/>
      </c>
      <c r="I38" s="251" t="str">
        <f t="shared" ref="I38:I41" si="26">IF(H38="","",IF($D$12=B29,ROUNDUP($D$12,0)*0.5,ROUNDUP(($D$12-B29)*0.5,0)))</f>
        <v/>
      </c>
      <c r="J38" s="251" t="str">
        <f t="shared" si="24"/>
        <v/>
      </c>
      <c r="K38" s="252">
        <f t="shared" ref="K38:K41" si="27">SUM(I38:J38)</f>
        <v>0</v>
      </c>
      <c r="M38" s="268" t="str">
        <f>IF(C20=3,IF(M37&lt;&gt;"",M37+1,IF(M36&lt;&gt;"",M36+1,1)),"")</f>
        <v/>
      </c>
      <c r="N38" s="268" t="str">
        <f>IF(C20=2,IF(N37&lt;&gt;"",N37+1,IF(N36&lt;&gt;"",N36+1,IF(M41&lt;&gt;"",M41+1,IF(M40&lt;&gt;"",M40+1,IF(M39&lt;&gt;"",M39+1,IF(M38&lt;&gt;"",M38+1,IF(M37&lt;&gt;"",M37+1,IF(M36&lt;&gt;"",M36+1,1)))))))),"")</f>
        <v/>
      </c>
      <c r="O38" s="233">
        <f t="shared" si="25"/>
        <v>0</v>
      </c>
    </row>
    <row r="39" spans="1:21">
      <c r="B39" s="238"/>
      <c r="C39" s="91"/>
      <c r="D39" s="143"/>
      <c r="E39" s="143"/>
      <c r="H39" s="248" t="str">
        <f t="shared" ref="H39:H41" si="28">IF(C21=2,1,"")</f>
        <v/>
      </c>
      <c r="I39" s="251" t="str">
        <f t="shared" si="26"/>
        <v/>
      </c>
      <c r="J39" s="251" t="str">
        <f t="shared" ref="J39:J41" si="29">IF(H39="","",IF($D$13=D30,ROUNDUP($D$13,0)*0.5,ROUNDUP(($D$13-D30)*0.5,0)))</f>
        <v/>
      </c>
      <c r="K39" s="252">
        <f t="shared" si="27"/>
        <v>0</v>
      </c>
      <c r="M39" s="268" t="str">
        <f>IF(C21=3,IF(M38&lt;&gt;"",M38+1,IF(M37&lt;&gt;"",M37+1,IF(M36&lt;&gt;"",M36+1,1))),"")</f>
        <v/>
      </c>
      <c r="N39" s="268" t="str">
        <f>IF(C21=2,IF(N38&lt;&gt;"",N38+1,IF(N37&lt;&gt;"",N37+1,IF(N36&lt;&gt;"",N36+1,IF(M41&lt;&gt;"",M41+1,IF(M40&lt;&gt;"",M40+1,IF(M39&lt;&gt;"",M39+1,IF(M38&lt;&gt;"",M38+1,IF(M37&lt;&gt;"",M37+1,IF(M36&lt;&gt;"",M36+1,1))))))))),"")</f>
        <v/>
      </c>
      <c r="O39" s="233">
        <f t="shared" si="25"/>
        <v>0</v>
      </c>
    </row>
    <row r="40" spans="1:21">
      <c r="B40" s="238"/>
      <c r="C40" s="91"/>
      <c r="D40" s="143"/>
      <c r="E40" s="143"/>
      <c r="H40" s="248" t="str">
        <f t="shared" si="28"/>
        <v/>
      </c>
      <c r="I40" s="251" t="str">
        <f t="shared" si="26"/>
        <v/>
      </c>
      <c r="J40" s="251" t="str">
        <f t="shared" si="29"/>
        <v/>
      </c>
      <c r="K40" s="252">
        <f t="shared" si="27"/>
        <v>0</v>
      </c>
      <c r="M40" s="268" t="str">
        <f>IF(C22=3,IF(M39&lt;&gt;"",M39+1,IF(M38&lt;&gt;"",M38+1,IF(M37&lt;&gt;"",M37+1,IF(M36&lt;&gt;"",M36+1,1)))),"")</f>
        <v/>
      </c>
      <c r="N40" s="268" t="str">
        <f>IF(C22=2,IF(N39&lt;&gt;"",N39+1,IF(N38&lt;&gt;"",N38+1,IF(N37&lt;&gt;"",N37+1,IF(N36&lt;&gt;"",N36+1,IF(M41&lt;&gt;"",M41+1,IF(M40&lt;&gt;"",M40+1,IF(M39&lt;&gt;"",M39+1,IF(M38&lt;&gt;"",M38+1,IF(M37&lt;&gt;"",M37+1,IF(M36&lt;&gt;"",M36+1,1)))))))))),"")</f>
        <v/>
      </c>
      <c r="O40" s="233">
        <f t="shared" si="25"/>
        <v>0</v>
      </c>
    </row>
    <row r="41" spans="1:21">
      <c r="B41" s="238"/>
      <c r="C41" s="91"/>
      <c r="D41" s="143"/>
      <c r="E41" s="143"/>
      <c r="H41" s="248" t="str">
        <f t="shared" si="28"/>
        <v/>
      </c>
      <c r="I41" s="253" t="str">
        <f t="shared" si="26"/>
        <v/>
      </c>
      <c r="J41" s="253" t="str">
        <f t="shared" si="29"/>
        <v/>
      </c>
      <c r="K41" s="252">
        <f t="shared" si="27"/>
        <v>0</v>
      </c>
      <c r="M41" s="268" t="str">
        <f>IF(C23=3,IF(M40&lt;&gt;"",M40+1,IF(M39&lt;&gt;"",M39+1,IF(M38&lt;&gt;"",M38+1,IF(M37&lt;&gt;"",M37+1,IF(M36&lt;&gt;"",M36+1,1))))),"")</f>
        <v/>
      </c>
      <c r="N41" s="268" t="str">
        <f>IF(C23=2,IF(N40&lt;&gt;"",N40+1,IF(N39&lt;&gt;"",N39+1,IF(N38&lt;&gt;"",N38+1,IF(N37&lt;&gt;"",N37+1,IF(N36&lt;&gt;"",N36+1,IF(M41&lt;&gt;"",M41+1,IF(M40&lt;&gt;"",M40+1,IF(M39&lt;&gt;"",M39+1,IF(M38&lt;&gt;"",M38+1,IF(M37&lt;&gt;"",M37+1,IF(M36&lt;&gt;"",M36+1,1))))))))))),"")</f>
        <v/>
      </c>
      <c r="O41" s="233">
        <f t="shared" si="25"/>
        <v>0</v>
      </c>
    </row>
    <row r="42" spans="1:21" ht="16.5" thickBot="1">
      <c r="B42" s="238"/>
      <c r="C42" s="91"/>
      <c r="D42" s="143"/>
      <c r="E42" s="143"/>
      <c r="H42" s="258">
        <f>SUM(H36:H41)</f>
        <v>0</v>
      </c>
      <c r="I42" s="249">
        <f>SUM(I36:I41)</f>
        <v>0</v>
      </c>
      <c r="J42" s="249">
        <f>SUM(J36:J41)</f>
        <v>0</v>
      </c>
      <c r="K42" s="259">
        <f>SUM(K36:K41)</f>
        <v>0</v>
      </c>
    </row>
    <row r="43" spans="1:21">
      <c r="B43" s="238"/>
      <c r="C43" s="91"/>
      <c r="D43" s="143"/>
      <c r="E43" s="143"/>
    </row>
    <row r="44" spans="1:21" ht="24.75" customHeight="1">
      <c r="B44" s="131" t="s">
        <v>46</v>
      </c>
      <c r="C44" s="113"/>
      <c r="D44" s="144">
        <v>305000</v>
      </c>
      <c r="E44" s="145">
        <v>560000</v>
      </c>
      <c r="F44" s="113"/>
      <c r="G44" s="113"/>
      <c r="H44" s="113"/>
      <c r="I44" s="113"/>
      <c r="J44" s="113"/>
      <c r="K44" s="113"/>
    </row>
    <row r="45" spans="1:21">
      <c r="B45" s="208"/>
      <c r="C45" s="209" t="s">
        <v>21</v>
      </c>
      <c r="D45" s="209" t="s">
        <v>22</v>
      </c>
      <c r="E45" s="209" t="s">
        <v>23</v>
      </c>
      <c r="F45" s="113"/>
      <c r="G45" s="113" t="s">
        <v>45</v>
      </c>
      <c r="H45" s="113"/>
      <c r="I45" s="113"/>
      <c r="J45" s="113"/>
    </row>
    <row r="46" spans="1:21">
      <c r="B46" s="132">
        <v>1</v>
      </c>
      <c r="C46" s="133">
        <v>430000</v>
      </c>
      <c r="D46" s="134">
        <f>430000+$D$44*(B46)</f>
        <v>735000</v>
      </c>
      <c r="E46" s="134">
        <f>430000+$E$44*B46</f>
        <v>990000</v>
      </c>
      <c r="F46" s="113"/>
      <c r="G46" s="135" t="str">
        <f>IF(ISNA(IF(AND(I46&gt;=K24,I45&lt;=K24),"○","×"))=TRUE,"×",IF(AND(I46&gt;=K24,I45&lt;=K24),"○","×"))</f>
        <v>○</v>
      </c>
      <c r="H46" s="218">
        <v>0.7</v>
      </c>
      <c r="I46" s="146">
        <f>VLOOKUP($C$36,$B$46:$E$51,2,FALSE)</f>
        <v>430000</v>
      </c>
      <c r="J46" s="126" t="s">
        <v>38</v>
      </c>
      <c r="K46" s="108" t="str">
        <f>G3</f>
        <v>均等割と平等割を７割減額しています。</v>
      </c>
      <c r="L46" s="108"/>
      <c r="M46" s="108"/>
    </row>
    <row r="47" spans="1:21">
      <c r="B47" s="132">
        <v>2</v>
      </c>
      <c r="C47" s="134">
        <f>$C$46+IF(O24&gt;1,100000*(O24-1),0)</f>
        <v>430000</v>
      </c>
      <c r="D47" s="134">
        <f>430000+$D$44*(B47)+IF(O24&gt;1,100000*(O24-1),0)</f>
        <v>1040000</v>
      </c>
      <c r="E47" s="134">
        <f>430000+$E$44*B47+IF(O24&gt;1,100000*(O24-1),0)</f>
        <v>1550000</v>
      </c>
      <c r="F47" s="113"/>
      <c r="G47" s="135" t="str">
        <f>IF(K24&gt;430000,IF(AND(I47&gt;=K24,I46&lt;=K24),"○","×"),"×")</f>
        <v>×</v>
      </c>
      <c r="H47" s="219">
        <v>0.5</v>
      </c>
      <c r="I47" s="146">
        <f>VLOOKUP($C$36,$B$46:$E$51,3,FALSE)</f>
        <v>735000</v>
      </c>
      <c r="J47" s="126" t="s">
        <v>39</v>
      </c>
      <c r="K47" s="108" t="str">
        <f>G4</f>
        <v>均等割と平等割を５割減額しています。</v>
      </c>
      <c r="L47" s="108"/>
      <c r="M47" s="108"/>
    </row>
    <row r="48" spans="1:21">
      <c r="B48" s="132">
        <v>3</v>
      </c>
      <c r="C48" s="134">
        <f>$C$46+IF(O24&gt;1,100000*(O24-1),0)</f>
        <v>430000</v>
      </c>
      <c r="D48" s="134">
        <f>430000+$D$44*(B48)+IF(O24&gt;1,100000*(O24-1),0)</f>
        <v>1345000</v>
      </c>
      <c r="E48" s="134">
        <f>430000+$E$44*B48+IF(O24&gt;1,100000*(O24-1),0)</f>
        <v>2110000</v>
      </c>
      <c r="F48" s="113"/>
      <c r="G48" s="135" t="str">
        <f>IF(K24&gt;430000,IF(AND(I48&gt;=K24,I47&lt;=K24),"○","×"),"×")</f>
        <v>×</v>
      </c>
      <c r="H48" s="219">
        <v>0.2</v>
      </c>
      <c r="I48" s="146">
        <f>VLOOKUP($C$36,$B$46:$E$51,4,FALSE)</f>
        <v>990000</v>
      </c>
      <c r="J48" s="126" t="s">
        <v>40</v>
      </c>
      <c r="K48" s="108" t="str">
        <f>G5</f>
        <v>均等割と平等割を２割減額しています。</v>
      </c>
      <c r="L48" s="108"/>
      <c r="M48" s="108"/>
    </row>
    <row r="49" spans="2:13">
      <c r="B49" s="132">
        <v>4</v>
      </c>
      <c r="C49" s="134">
        <f>$C$46+IF(O24&gt;1,100000*(O24-1),0)</f>
        <v>430000</v>
      </c>
      <c r="D49" s="134">
        <f>430000+$D$44*(B49)+IF(O24&gt;1,100000*(O24-1),0)</f>
        <v>1650000</v>
      </c>
      <c r="E49" s="134">
        <f>430000+$E$44*B49+IF(O24&gt;1,100000*(O24-1),0)</f>
        <v>2670000</v>
      </c>
      <c r="F49" s="113"/>
      <c r="G49" s="137" t="str">
        <f>IF(ISNA(IF(I48&lt;K24,"○","×"))=TRUE,"×",IF(I48&lt;K24,"○","×"))</f>
        <v>×</v>
      </c>
      <c r="H49" s="138">
        <v>1</v>
      </c>
      <c r="I49" s="136">
        <v>0</v>
      </c>
      <c r="J49" s="136">
        <v>0</v>
      </c>
      <c r="K49" s="139"/>
      <c r="L49" s="140"/>
      <c r="M49" s="141"/>
    </row>
    <row r="50" spans="2:13">
      <c r="B50" s="132">
        <v>5</v>
      </c>
      <c r="C50" s="134">
        <f>$C$46+IF(O24&gt;1,100000*(O24-1),0)</f>
        <v>430000</v>
      </c>
      <c r="D50" s="134">
        <f>430000+$D$44*(B50)+IF(O24&gt;1,100000*(O24-1),0)</f>
        <v>1955000</v>
      </c>
      <c r="E50" s="134">
        <f>430000+$E$44*B50+IF(O24&gt;1,100000*(O24-1),0)</f>
        <v>3230000</v>
      </c>
      <c r="F50" s="113"/>
      <c r="G50" s="113"/>
      <c r="H50" s="113"/>
      <c r="I50" s="113"/>
      <c r="J50" s="113"/>
    </row>
    <row r="51" spans="2:13">
      <c r="B51" s="132">
        <v>6</v>
      </c>
      <c r="C51" s="134">
        <f>$C$46+IF(O24&gt;1,100000*(O24-1),0)</f>
        <v>430000</v>
      </c>
      <c r="D51" s="134">
        <f>430000+$D$44*(B51)+IF(O24&gt;1,100000*(O24-1),0)</f>
        <v>2260000</v>
      </c>
      <c r="E51" s="134">
        <f>430000+$E$44*B51+IF(O24&gt;1,100000*(O24-1),0)</f>
        <v>3790000</v>
      </c>
      <c r="G51" s="113"/>
    </row>
  </sheetData>
  <sheetProtection selectLockedCells="1"/>
  <phoneticPr fontId="2"/>
  <pageMargins left="0.25" right="0.25" top="0.75" bottom="0.75" header="0.3" footer="0.3"/>
  <pageSetup paperSize="9" scale="46"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B1:H78"/>
  <sheetViews>
    <sheetView zoomScale="80" zoomScaleNormal="80" workbookViewId="0">
      <selection activeCell="C9" sqref="C9"/>
    </sheetView>
  </sheetViews>
  <sheetFormatPr defaultRowHeight="15.75"/>
  <cols>
    <col min="1" max="1" width="9" style="107"/>
    <col min="2" max="2" width="12.875" style="107" bestFit="1" customWidth="1"/>
    <col min="3" max="3" width="17.125" style="107" customWidth="1"/>
    <col min="4" max="4" width="9" style="107"/>
    <col min="5" max="5" width="13.375" style="107" bestFit="1" customWidth="1"/>
    <col min="6" max="8" width="11.875" style="107" bestFit="1" customWidth="1"/>
    <col min="9" max="16384" width="9" style="107"/>
  </cols>
  <sheetData>
    <row r="1" spans="2:8">
      <c r="B1" s="107" t="s">
        <v>66</v>
      </c>
      <c r="C1" s="107" t="s">
        <v>73</v>
      </c>
      <c r="E1" s="107" t="s">
        <v>74</v>
      </c>
      <c r="F1" s="107" t="s">
        <v>75</v>
      </c>
    </row>
    <row r="2" spans="2:8">
      <c r="B2" s="107" t="s">
        <v>0</v>
      </c>
      <c r="E2" s="107" t="s">
        <v>0</v>
      </c>
    </row>
    <row r="3" spans="2:8">
      <c r="B3" s="109">
        <v>0</v>
      </c>
      <c r="C3" s="109">
        <v>0</v>
      </c>
      <c r="E3" s="214" t="s">
        <v>76</v>
      </c>
      <c r="F3" s="214"/>
      <c r="G3" s="214" t="s">
        <v>77</v>
      </c>
      <c r="H3" s="214"/>
    </row>
    <row r="4" spans="2:8">
      <c r="B4" s="109">
        <v>551000</v>
      </c>
      <c r="C4" s="109">
        <f>試算シート!R10-550000</f>
        <v>-550000</v>
      </c>
      <c r="E4" s="109">
        <v>0</v>
      </c>
      <c r="F4" s="109">
        <f>IF(試算シート!Y10-600000&lt;0,0,試算シート!Y10-600000)</f>
        <v>0</v>
      </c>
      <c r="G4" s="109">
        <v>0</v>
      </c>
      <c r="H4" s="109">
        <f>IF(試算シート!Y10-1100000&lt;0,0,試算シート!Y10-1100000)</f>
        <v>0</v>
      </c>
    </row>
    <row r="5" spans="2:8">
      <c r="B5" s="109">
        <v>1619000</v>
      </c>
      <c r="C5" s="109">
        <v>1069000</v>
      </c>
      <c r="E5" s="109">
        <v>1300000</v>
      </c>
      <c r="F5" s="109">
        <f>試算シート!Y10*0.75-275000</f>
        <v>-275000</v>
      </c>
      <c r="G5" s="109">
        <v>3300000</v>
      </c>
      <c r="H5" s="109">
        <f>試算シート!Y10*0.75-275000</f>
        <v>-275000</v>
      </c>
    </row>
    <row r="6" spans="2:8">
      <c r="B6" s="109">
        <v>1620000</v>
      </c>
      <c r="C6" s="109">
        <v>1070000</v>
      </c>
      <c r="E6" s="109">
        <v>4100000</v>
      </c>
      <c r="F6" s="109">
        <f>試算シート!Y10*0.85-685000</f>
        <v>-685000</v>
      </c>
      <c r="G6" s="109">
        <v>4100000</v>
      </c>
      <c r="H6" s="109">
        <f>試算シート!Y10*0.85-685000</f>
        <v>-685000</v>
      </c>
    </row>
    <row r="7" spans="2:8">
      <c r="B7" s="109">
        <v>1622000</v>
      </c>
      <c r="C7" s="109">
        <v>1072000</v>
      </c>
      <c r="E7" s="109">
        <v>7700000</v>
      </c>
      <c r="F7" s="109">
        <f>試算シート!Y10*0.95-1455000</f>
        <v>-1455000</v>
      </c>
      <c r="G7" s="109">
        <v>7700000</v>
      </c>
      <c r="H7" s="109">
        <f>試算シート!Y10*0.95-1455000</f>
        <v>-1455000</v>
      </c>
    </row>
    <row r="8" spans="2:8">
      <c r="B8" s="109">
        <v>1624000</v>
      </c>
      <c r="C8" s="109">
        <v>1074000</v>
      </c>
      <c r="E8" s="109">
        <v>999999999</v>
      </c>
      <c r="F8" s="109">
        <f>試算シート!Y10-1955000</f>
        <v>-1955000</v>
      </c>
      <c r="G8" s="109">
        <v>999999999</v>
      </c>
      <c r="H8" s="109">
        <f>試算シート!Y10-1955000</f>
        <v>-1955000</v>
      </c>
    </row>
    <row r="9" spans="2:8">
      <c r="B9" s="109">
        <v>1628000</v>
      </c>
      <c r="C9" s="109">
        <f>ROUNDDOWN(試算シート!R10/4,-3)*2.4+100000</f>
        <v>100000</v>
      </c>
    </row>
    <row r="10" spans="2:8">
      <c r="B10" s="109">
        <v>1800000</v>
      </c>
      <c r="C10" s="109">
        <f>ROUNDDOWN(試算シート!R10/4,-3)*2.8-80000</f>
        <v>-80000</v>
      </c>
    </row>
    <row r="11" spans="2:8">
      <c r="B11" s="109">
        <v>3600000</v>
      </c>
      <c r="C11" s="109">
        <f>ROUNDDOWN(試算シート!R10/4,-3)*3.2-440000</f>
        <v>-440000</v>
      </c>
    </row>
    <row r="12" spans="2:8">
      <c r="B12" s="109">
        <v>6600000</v>
      </c>
      <c r="C12" s="109">
        <f>試算シート!R10*0.9-1100000</f>
        <v>-1100000</v>
      </c>
    </row>
    <row r="13" spans="2:8">
      <c r="B13" s="109">
        <v>8500000</v>
      </c>
      <c r="C13" s="109">
        <f>試算シート!R10-1950000</f>
        <v>-1950000</v>
      </c>
    </row>
    <row r="14" spans="2:8" ht="6.75" customHeight="1"/>
    <row r="15" spans="2:8">
      <c r="B15" s="107" t="s">
        <v>1</v>
      </c>
      <c r="E15" s="107" t="s">
        <v>1</v>
      </c>
    </row>
    <row r="16" spans="2:8">
      <c r="B16" s="109">
        <v>0</v>
      </c>
      <c r="C16" s="109">
        <v>0</v>
      </c>
      <c r="E16" s="214" t="s">
        <v>76</v>
      </c>
      <c r="F16" s="214"/>
      <c r="G16" s="214" t="s">
        <v>77</v>
      </c>
      <c r="H16" s="214"/>
    </row>
    <row r="17" spans="2:8">
      <c r="B17" s="109">
        <v>551000</v>
      </c>
      <c r="C17" s="109">
        <f>試算シート!R12-550000</f>
        <v>-550000</v>
      </c>
      <c r="E17" s="109">
        <v>0</v>
      </c>
      <c r="F17" s="109">
        <f>IF(試算シート!Y12-600000&lt;0,0,試算シート!Y12-600000)</f>
        <v>0</v>
      </c>
      <c r="G17" s="109">
        <v>0</v>
      </c>
      <c r="H17" s="109">
        <f>IF(試算シート!Y12-1100000&lt;0,0,試算シート!Y12-1100000)</f>
        <v>0</v>
      </c>
    </row>
    <row r="18" spans="2:8">
      <c r="B18" s="109">
        <v>1619000</v>
      </c>
      <c r="C18" s="109">
        <v>1069000</v>
      </c>
      <c r="E18" s="109">
        <v>1300000</v>
      </c>
      <c r="F18" s="109">
        <f>試算シート!Y12*0.75-275000</f>
        <v>-275000</v>
      </c>
      <c r="G18" s="109">
        <v>3300000</v>
      </c>
      <c r="H18" s="109">
        <f>試算シート!Y12*0.75-275000</f>
        <v>-275000</v>
      </c>
    </row>
    <row r="19" spans="2:8">
      <c r="B19" s="109">
        <v>1620000</v>
      </c>
      <c r="C19" s="109">
        <v>1070000</v>
      </c>
      <c r="E19" s="109">
        <v>4100000</v>
      </c>
      <c r="F19" s="109">
        <f>試算シート!Y12*0.85-685000</f>
        <v>-685000</v>
      </c>
      <c r="G19" s="109">
        <v>4100000</v>
      </c>
      <c r="H19" s="109">
        <f>試算シート!Y12*0.85-685000</f>
        <v>-685000</v>
      </c>
    </row>
    <row r="20" spans="2:8">
      <c r="B20" s="109">
        <v>1622000</v>
      </c>
      <c r="C20" s="109">
        <v>1072000</v>
      </c>
      <c r="E20" s="109">
        <v>7700000</v>
      </c>
      <c r="F20" s="109">
        <f>試算シート!Y12*0.95-1455000</f>
        <v>-1455000</v>
      </c>
      <c r="G20" s="109">
        <v>7700000</v>
      </c>
      <c r="H20" s="109">
        <f>試算シート!Y12*0.95-1455000</f>
        <v>-1455000</v>
      </c>
    </row>
    <row r="21" spans="2:8">
      <c r="B21" s="109">
        <v>1624000</v>
      </c>
      <c r="C21" s="109">
        <v>1074000</v>
      </c>
      <c r="E21" s="109">
        <v>999999999</v>
      </c>
      <c r="F21" s="109">
        <f>試算シート!Y12-1955000</f>
        <v>-1955000</v>
      </c>
      <c r="G21" s="109">
        <v>999999999</v>
      </c>
      <c r="H21" s="109">
        <f>試算シート!Y12-1955000</f>
        <v>-1955000</v>
      </c>
    </row>
    <row r="22" spans="2:8">
      <c r="B22" s="109">
        <v>1628000</v>
      </c>
      <c r="C22" s="109">
        <f>ROUNDDOWN(試算シート!R12/4,-3)*2.4+100000</f>
        <v>100000</v>
      </c>
    </row>
    <row r="23" spans="2:8">
      <c r="B23" s="109">
        <v>1800000</v>
      </c>
      <c r="C23" s="109">
        <f>ROUNDDOWN(試算シート!R12/4,-3)*2.8-80000</f>
        <v>-80000</v>
      </c>
    </row>
    <row r="24" spans="2:8">
      <c r="B24" s="109">
        <v>3600000</v>
      </c>
      <c r="C24" s="109">
        <f>ROUNDDOWN(試算シート!R12/4,-3)*3.2-440000</f>
        <v>-440000</v>
      </c>
    </row>
    <row r="25" spans="2:8">
      <c r="B25" s="109">
        <v>6600000</v>
      </c>
      <c r="C25" s="109">
        <f>試算シート!R12*0.9-1100000</f>
        <v>-1100000</v>
      </c>
    </row>
    <row r="26" spans="2:8">
      <c r="B26" s="109">
        <v>8500000</v>
      </c>
      <c r="C26" s="109">
        <f>試算シート!R12-1950000</f>
        <v>-1950000</v>
      </c>
    </row>
    <row r="27" spans="2:8" ht="7.5" customHeight="1"/>
    <row r="28" spans="2:8">
      <c r="B28" s="107" t="s">
        <v>2</v>
      </c>
      <c r="E28" s="107" t="s">
        <v>2</v>
      </c>
    </row>
    <row r="29" spans="2:8">
      <c r="B29" s="109">
        <v>0</v>
      </c>
      <c r="C29" s="109">
        <v>0</v>
      </c>
      <c r="E29" s="214" t="s">
        <v>76</v>
      </c>
      <c r="F29" s="108"/>
      <c r="G29" s="214" t="s">
        <v>77</v>
      </c>
      <c r="H29" s="108"/>
    </row>
    <row r="30" spans="2:8">
      <c r="B30" s="109">
        <v>551000</v>
      </c>
      <c r="C30" s="109">
        <f>試算シート!R14-550000</f>
        <v>-550000</v>
      </c>
      <c r="E30" s="109">
        <v>0</v>
      </c>
      <c r="F30" s="109">
        <f>IF(試算シート!Y14-600000&lt;0,0,試算シート!Y14-600000)</f>
        <v>0</v>
      </c>
      <c r="G30" s="109">
        <v>0</v>
      </c>
      <c r="H30" s="109">
        <f>IF(試算シート!Y14-1100000&lt;0,0,試算シート!Y14-1100000)</f>
        <v>0</v>
      </c>
    </row>
    <row r="31" spans="2:8">
      <c r="B31" s="109">
        <v>1619000</v>
      </c>
      <c r="C31" s="109">
        <v>1069000</v>
      </c>
      <c r="E31" s="109">
        <v>1300000</v>
      </c>
      <c r="F31" s="109">
        <f>試算シート!Y14*0.75-275000</f>
        <v>-275000</v>
      </c>
      <c r="G31" s="109">
        <v>3300000</v>
      </c>
      <c r="H31" s="109">
        <f>試算シート!Y14*0.75-275000</f>
        <v>-275000</v>
      </c>
    </row>
    <row r="32" spans="2:8">
      <c r="B32" s="109">
        <v>1620000</v>
      </c>
      <c r="C32" s="109">
        <v>1070000</v>
      </c>
      <c r="E32" s="109">
        <v>4100000</v>
      </c>
      <c r="F32" s="109">
        <f>試算シート!Y14*0.85-685000</f>
        <v>-685000</v>
      </c>
      <c r="G32" s="109">
        <v>4100000</v>
      </c>
      <c r="H32" s="109">
        <f>試算シート!Y14*0.85-685000</f>
        <v>-685000</v>
      </c>
    </row>
    <row r="33" spans="2:8">
      <c r="B33" s="109">
        <v>1622000</v>
      </c>
      <c r="C33" s="109">
        <v>1072000</v>
      </c>
      <c r="E33" s="109">
        <v>7700000</v>
      </c>
      <c r="F33" s="109">
        <f>試算シート!Y14*0.95-1455000</f>
        <v>-1455000</v>
      </c>
      <c r="G33" s="109">
        <v>7700000</v>
      </c>
      <c r="H33" s="109">
        <f>試算シート!Y14*0.95-1455000</f>
        <v>-1455000</v>
      </c>
    </row>
    <row r="34" spans="2:8">
      <c r="B34" s="109">
        <v>1624000</v>
      </c>
      <c r="C34" s="109">
        <v>1074000</v>
      </c>
      <c r="E34" s="109">
        <v>999999999</v>
      </c>
      <c r="F34" s="109">
        <f>試算シート!Y14-1955000</f>
        <v>-1955000</v>
      </c>
      <c r="G34" s="109">
        <v>999999999</v>
      </c>
      <c r="H34" s="109">
        <f>試算シート!Y14-1955000</f>
        <v>-1955000</v>
      </c>
    </row>
    <row r="35" spans="2:8">
      <c r="B35" s="109">
        <v>1628000</v>
      </c>
      <c r="C35" s="109">
        <f>ROUNDDOWN(試算シート!R14/4,-3)*2.4+100000</f>
        <v>100000</v>
      </c>
    </row>
    <row r="36" spans="2:8">
      <c r="B36" s="109">
        <v>1800000</v>
      </c>
      <c r="C36" s="109">
        <f>ROUNDDOWN(試算シート!R14/4,-3)*2.8-80000</f>
        <v>-80000</v>
      </c>
    </row>
    <row r="37" spans="2:8">
      <c r="B37" s="109">
        <v>3600000</v>
      </c>
      <c r="C37" s="109">
        <f>ROUNDDOWN(試算シート!R14/4,-3)*3.2-440000</f>
        <v>-440000</v>
      </c>
    </row>
    <row r="38" spans="2:8">
      <c r="B38" s="109">
        <v>6600000</v>
      </c>
      <c r="C38" s="109">
        <f>試算シート!R14*0.9-1100000</f>
        <v>-1100000</v>
      </c>
    </row>
    <row r="39" spans="2:8">
      <c r="B39" s="109">
        <v>8500000</v>
      </c>
      <c r="C39" s="109">
        <f>試算シート!R14-1950000</f>
        <v>-1950000</v>
      </c>
    </row>
    <row r="40" spans="2:8" ht="9.75" customHeight="1"/>
    <row r="41" spans="2:8">
      <c r="B41" s="107" t="s">
        <v>3</v>
      </c>
      <c r="E41" s="107" t="s">
        <v>3</v>
      </c>
    </row>
    <row r="42" spans="2:8">
      <c r="B42" s="109">
        <v>0</v>
      </c>
      <c r="C42" s="109">
        <v>0</v>
      </c>
      <c r="E42" s="214" t="s">
        <v>76</v>
      </c>
      <c r="F42" s="214"/>
      <c r="G42" s="214" t="s">
        <v>77</v>
      </c>
      <c r="H42" s="108"/>
    </row>
    <row r="43" spans="2:8">
      <c r="B43" s="109">
        <v>551000</v>
      </c>
      <c r="C43" s="109">
        <f>試算シート!R16-550000</f>
        <v>-550000</v>
      </c>
      <c r="E43" s="109">
        <v>0</v>
      </c>
      <c r="F43" s="109">
        <f>IF(試算シート!Y16-600000&lt;0,0,試算シート!Y16-600000)</f>
        <v>0</v>
      </c>
      <c r="G43" s="109">
        <v>0</v>
      </c>
      <c r="H43" s="109">
        <f>IF(試算シート!Y16-1100000&lt;0,0,試算シート!Y16-1100000)</f>
        <v>0</v>
      </c>
    </row>
    <row r="44" spans="2:8">
      <c r="B44" s="109">
        <v>1619000</v>
      </c>
      <c r="C44" s="109">
        <v>1069000</v>
      </c>
      <c r="E44" s="109">
        <v>1300000</v>
      </c>
      <c r="F44" s="109">
        <f>試算シート!Y16*0.75-275000</f>
        <v>-275000</v>
      </c>
      <c r="G44" s="109">
        <v>3300000</v>
      </c>
      <c r="H44" s="109">
        <f>試算シート!Y16*0.75-275000</f>
        <v>-275000</v>
      </c>
    </row>
    <row r="45" spans="2:8">
      <c r="B45" s="109">
        <v>1620000</v>
      </c>
      <c r="C45" s="109">
        <v>1070000</v>
      </c>
      <c r="E45" s="109">
        <v>4100000</v>
      </c>
      <c r="F45" s="109">
        <f>試算シート!Y16*0.85-685000</f>
        <v>-685000</v>
      </c>
      <c r="G45" s="109">
        <v>4100000</v>
      </c>
      <c r="H45" s="109">
        <f>試算シート!Y16*0.85-685000</f>
        <v>-685000</v>
      </c>
    </row>
    <row r="46" spans="2:8">
      <c r="B46" s="109">
        <v>1622000</v>
      </c>
      <c r="C46" s="109">
        <v>1072000</v>
      </c>
      <c r="E46" s="109">
        <v>7700000</v>
      </c>
      <c r="F46" s="109">
        <f>試算シート!Y16*0.95-1455000</f>
        <v>-1455000</v>
      </c>
      <c r="G46" s="109">
        <v>7700000</v>
      </c>
      <c r="H46" s="109">
        <f>試算シート!Y16*0.95-1455000</f>
        <v>-1455000</v>
      </c>
    </row>
    <row r="47" spans="2:8">
      <c r="B47" s="109">
        <v>1624000</v>
      </c>
      <c r="C47" s="109">
        <v>1074000</v>
      </c>
      <c r="E47" s="109">
        <v>999999999</v>
      </c>
      <c r="F47" s="109">
        <f>試算シート!Y16-1955000</f>
        <v>-1955000</v>
      </c>
      <c r="G47" s="109">
        <v>999999999</v>
      </c>
      <c r="H47" s="109">
        <f>試算シート!Y16-1955000</f>
        <v>-1955000</v>
      </c>
    </row>
    <row r="48" spans="2:8">
      <c r="B48" s="109">
        <v>1628000</v>
      </c>
      <c r="C48" s="109">
        <f>ROUNDDOWN(試算シート!R16/4,-3)*2.4+100000</f>
        <v>100000</v>
      </c>
    </row>
    <row r="49" spans="2:8">
      <c r="B49" s="109">
        <v>1800000</v>
      </c>
      <c r="C49" s="109">
        <f>ROUNDDOWN(試算シート!R16/4,-3)*2.8-80000</f>
        <v>-80000</v>
      </c>
    </row>
    <row r="50" spans="2:8">
      <c r="B50" s="109">
        <v>3600000</v>
      </c>
      <c r="C50" s="109">
        <f>ROUNDDOWN(試算シート!R16/4,-3)*3.2-440000</f>
        <v>-440000</v>
      </c>
    </row>
    <row r="51" spans="2:8">
      <c r="B51" s="109">
        <v>6600000</v>
      </c>
      <c r="C51" s="109">
        <f>試算シート!R16*0.9-1100000</f>
        <v>-1100000</v>
      </c>
    </row>
    <row r="52" spans="2:8">
      <c r="B52" s="109">
        <v>8500000</v>
      </c>
      <c r="C52" s="109">
        <f>試算シート!R16-1950000</f>
        <v>-1950000</v>
      </c>
    </row>
    <row r="53" spans="2:8" ht="8.25" customHeight="1"/>
    <row r="54" spans="2:8">
      <c r="B54" s="107" t="s">
        <v>4</v>
      </c>
      <c r="E54" s="107" t="s">
        <v>4</v>
      </c>
    </row>
    <row r="55" spans="2:8">
      <c r="B55" s="109">
        <v>0</v>
      </c>
      <c r="C55" s="109">
        <v>0</v>
      </c>
      <c r="E55" s="214" t="s">
        <v>76</v>
      </c>
      <c r="F55" s="214"/>
      <c r="G55" s="214" t="s">
        <v>77</v>
      </c>
      <c r="H55" s="108"/>
    </row>
    <row r="56" spans="2:8">
      <c r="B56" s="109">
        <v>551000</v>
      </c>
      <c r="C56" s="109">
        <f>試算シート!R18-550000</f>
        <v>-550000</v>
      </c>
      <c r="E56" s="109">
        <v>0</v>
      </c>
      <c r="F56" s="109">
        <f>IF(試算シート!Y18-600000&lt;0,0,試算シート!Y18-600000)</f>
        <v>0</v>
      </c>
      <c r="G56" s="109">
        <v>0</v>
      </c>
      <c r="H56" s="109">
        <f>IF(試算シート!Y18-1100000&lt;0,0,試算シート!Y18-1100000)</f>
        <v>0</v>
      </c>
    </row>
    <row r="57" spans="2:8">
      <c r="B57" s="109">
        <v>1619000</v>
      </c>
      <c r="C57" s="109">
        <v>1069000</v>
      </c>
      <c r="E57" s="109">
        <v>1300000</v>
      </c>
      <c r="F57" s="109">
        <f>試算シート!Y18*0.75-275000</f>
        <v>-275000</v>
      </c>
      <c r="G57" s="109">
        <v>3300000</v>
      </c>
      <c r="H57" s="109">
        <f>試算シート!Y18*0.75-275000</f>
        <v>-275000</v>
      </c>
    </row>
    <row r="58" spans="2:8">
      <c r="B58" s="109">
        <v>1620000</v>
      </c>
      <c r="C58" s="109">
        <v>1070000</v>
      </c>
      <c r="E58" s="109">
        <v>4100000</v>
      </c>
      <c r="F58" s="109">
        <f>試算シート!Y18*0.85-685000</f>
        <v>-685000</v>
      </c>
      <c r="G58" s="109">
        <v>4100000</v>
      </c>
      <c r="H58" s="109">
        <f>試算シート!Y18*0.85-685000</f>
        <v>-685000</v>
      </c>
    </row>
    <row r="59" spans="2:8">
      <c r="B59" s="109">
        <v>1622000</v>
      </c>
      <c r="C59" s="109">
        <v>1072000</v>
      </c>
      <c r="E59" s="109">
        <v>7700000</v>
      </c>
      <c r="F59" s="109">
        <f>試算シート!Y18*0.95-1455000</f>
        <v>-1455000</v>
      </c>
      <c r="G59" s="109">
        <v>7700000</v>
      </c>
      <c r="H59" s="109">
        <f>試算シート!Y18*0.95-1455000</f>
        <v>-1455000</v>
      </c>
    </row>
    <row r="60" spans="2:8">
      <c r="B60" s="109">
        <v>1624000</v>
      </c>
      <c r="C60" s="109">
        <v>1074000</v>
      </c>
      <c r="E60" s="109">
        <v>999999999</v>
      </c>
      <c r="F60" s="109">
        <f>試算シート!Y18-1955000</f>
        <v>-1955000</v>
      </c>
      <c r="G60" s="109">
        <v>999999999</v>
      </c>
      <c r="H60" s="109">
        <f>試算シート!Y18-1955000</f>
        <v>-1955000</v>
      </c>
    </row>
    <row r="61" spans="2:8">
      <c r="B61" s="109">
        <v>1628000</v>
      </c>
      <c r="C61" s="109">
        <f>ROUNDDOWN(試算シート!R18/4,-3)*2.4+100000</f>
        <v>100000</v>
      </c>
    </row>
    <row r="62" spans="2:8">
      <c r="B62" s="109">
        <v>1800000</v>
      </c>
      <c r="C62" s="109">
        <f>ROUNDDOWN(試算シート!R18/4,-3)*2.8-80000</f>
        <v>-80000</v>
      </c>
    </row>
    <row r="63" spans="2:8">
      <c r="B63" s="109">
        <v>3600000</v>
      </c>
      <c r="C63" s="109">
        <f>ROUNDDOWN(試算シート!R18/4,-3)*3.2-440000</f>
        <v>-440000</v>
      </c>
    </row>
    <row r="64" spans="2:8">
      <c r="B64" s="109">
        <v>6600000</v>
      </c>
      <c r="C64" s="109">
        <f>試算シート!R18*0.9-1100000</f>
        <v>-1100000</v>
      </c>
    </row>
    <row r="65" spans="2:8">
      <c r="B65" s="109">
        <v>8500000</v>
      </c>
      <c r="C65" s="109">
        <f>試算シート!R18-1950000</f>
        <v>-1950000</v>
      </c>
    </row>
    <row r="66" spans="2:8" ht="6" customHeight="1"/>
    <row r="67" spans="2:8">
      <c r="B67" s="107" t="s">
        <v>5</v>
      </c>
      <c r="E67" s="107" t="s">
        <v>5</v>
      </c>
    </row>
    <row r="68" spans="2:8">
      <c r="B68" s="109">
        <v>0</v>
      </c>
      <c r="C68" s="109">
        <v>0</v>
      </c>
      <c r="E68" s="108" t="s">
        <v>76</v>
      </c>
      <c r="F68" s="108"/>
      <c r="G68" s="108" t="s">
        <v>77</v>
      </c>
      <c r="H68" s="108"/>
    </row>
    <row r="69" spans="2:8">
      <c r="B69" s="109">
        <v>551000</v>
      </c>
      <c r="C69" s="109">
        <f>試算シート!R20-550000</f>
        <v>-550000</v>
      </c>
      <c r="E69" s="109">
        <v>0</v>
      </c>
      <c r="F69" s="109">
        <f>IF(試算シート!Y20-600000&lt;0,0,試算シート!Y20-600000)</f>
        <v>0</v>
      </c>
      <c r="G69" s="109">
        <v>0</v>
      </c>
      <c r="H69" s="109">
        <f>IF(試算シート!Y20-1100000&lt;0,0,試算シート!Y20-1100000)</f>
        <v>0</v>
      </c>
    </row>
    <row r="70" spans="2:8">
      <c r="B70" s="109">
        <v>1619000</v>
      </c>
      <c r="C70" s="109">
        <v>1069000</v>
      </c>
      <c r="E70" s="109">
        <v>1300000</v>
      </c>
      <c r="F70" s="109">
        <f>試算シート!Y20*0.75-275000</f>
        <v>-275000</v>
      </c>
      <c r="G70" s="109">
        <v>3300000</v>
      </c>
      <c r="H70" s="109">
        <f>試算シート!Y20*0.75-275000</f>
        <v>-275000</v>
      </c>
    </row>
    <row r="71" spans="2:8">
      <c r="B71" s="109">
        <v>1620000</v>
      </c>
      <c r="C71" s="109">
        <v>1070000</v>
      </c>
      <c r="E71" s="109">
        <v>4100000</v>
      </c>
      <c r="F71" s="109">
        <f>試算シート!Y20*0.85-685000</f>
        <v>-685000</v>
      </c>
      <c r="G71" s="109">
        <v>4100000</v>
      </c>
      <c r="H71" s="109">
        <f>試算シート!Y20*0.85-685000</f>
        <v>-685000</v>
      </c>
    </row>
    <row r="72" spans="2:8">
      <c r="B72" s="109">
        <v>1622000</v>
      </c>
      <c r="C72" s="109">
        <v>1072000</v>
      </c>
      <c r="E72" s="109">
        <v>7700000</v>
      </c>
      <c r="F72" s="109">
        <f>試算シート!Y20*0.95-1455000</f>
        <v>-1455000</v>
      </c>
      <c r="G72" s="109">
        <v>7700000</v>
      </c>
      <c r="H72" s="109">
        <f>試算シート!Y20*0.95-1455000</f>
        <v>-1455000</v>
      </c>
    </row>
    <row r="73" spans="2:8">
      <c r="B73" s="109">
        <v>1624000</v>
      </c>
      <c r="C73" s="109">
        <v>1074000</v>
      </c>
      <c r="E73" s="109">
        <v>999999999</v>
      </c>
      <c r="F73" s="109">
        <f>試算シート!Y20-1955000</f>
        <v>-1955000</v>
      </c>
      <c r="G73" s="109">
        <v>999999999</v>
      </c>
      <c r="H73" s="109">
        <f>試算シート!Y20-1955000</f>
        <v>-1955000</v>
      </c>
    </row>
    <row r="74" spans="2:8">
      <c r="B74" s="109">
        <v>1628000</v>
      </c>
      <c r="C74" s="109">
        <f>ROUNDDOWN(試算シート!R20/4,-3)*2.4+100000</f>
        <v>100000</v>
      </c>
    </row>
    <row r="75" spans="2:8">
      <c r="B75" s="109">
        <v>1800000</v>
      </c>
      <c r="C75" s="109">
        <f>ROUNDDOWN(試算シート!R20/4,-3)*2.8-80000</f>
        <v>-80000</v>
      </c>
    </row>
    <row r="76" spans="2:8">
      <c r="B76" s="109">
        <v>3600000</v>
      </c>
      <c r="C76" s="109">
        <f>ROUNDDOWN(試算シート!R20/4,-3)*3.2-440000</f>
        <v>-440000</v>
      </c>
    </row>
    <row r="77" spans="2:8">
      <c r="B77" s="109">
        <v>6600000</v>
      </c>
      <c r="C77" s="109">
        <f>試算シート!R20*0.9-1100000</f>
        <v>-1100000</v>
      </c>
    </row>
    <row r="78" spans="2:8">
      <c r="B78" s="109">
        <v>8500000</v>
      </c>
      <c r="C78" s="109">
        <f>試算シート!R20-1950000</f>
        <v>-1950000</v>
      </c>
    </row>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試算シート</vt:lpstr>
      <vt:lpstr>計算の詳細</vt:lpstr>
      <vt:lpstr>★計算基準</vt:lpstr>
      <vt:lpstr>所得計算</vt:lpstr>
      <vt:lpstr>計算の詳細!Print_Area</vt:lpstr>
      <vt:lpstr>試算シート!Print_Area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矢持　彩香</cp:lastModifiedBy>
  <cp:lastPrinted>2025-05-09T09:03:05Z</cp:lastPrinted>
  <dcterms:created xsi:type="dcterms:W3CDTF">2012-09-26T02:57:09Z</dcterms:created>
  <dcterms:modified xsi:type="dcterms:W3CDTF">2025-05-19T07:15:06Z</dcterms:modified>
</cp:coreProperties>
</file>