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J:\20資格賦課\○01_共通\10_広報・広聴\令和８年度\02_HP\新年度賦課関係（６／１５公表予定）\保険料計算シート\"/>
    </mc:Choice>
  </mc:AlternateContent>
  <xr:revisionPtr revIDLastSave="0" documentId="13_ncr:1_{A246233E-263C-4106-A063-06BE4D98CD23}" xr6:coauthVersionLast="47" xr6:coauthVersionMax="47" xr10:uidLastSave="{00000000-0000-0000-0000-000000000000}"/>
  <workbookProtection workbookAlgorithmName="SHA-512" workbookHashValue="yaugs1rTmdEn+r7Sq8kH/df/OL9A/M9TEHy2EYN5PvC9fPsywDKjKiyarY8PYOMN3c5RYmG8859AqY2dMPxK/w==" workbookSaltValue="RDLDj25Rqh0uOCJNhf60wQ==" workbookSpinCount="100000" lockStructure="1"/>
  <bookViews>
    <workbookView xWindow="-120" yWindow="-120" windowWidth="29040" windowHeight="15720" xr2:uid="{00000000-000D-0000-FFFF-FFFF00000000}"/>
  </bookViews>
  <sheets>
    <sheet name="試算シート" sheetId="1" r:id="rId1"/>
    <sheet name="〇計算の詳細" sheetId="8" r:id="rId2"/>
    <sheet name="算定基礎" sheetId="9" state="hidden" r:id="rId3"/>
    <sheet name="所得計算" sheetId="5" state="hidden" r:id="rId4"/>
    <sheet name="多子減免額（基礎分）" sheetId="10" state="hidden" r:id="rId5"/>
    <sheet name="多子減免額（支援分）" sheetId="11" state="hidden" r:id="rId6"/>
    <sheet name="参考" sheetId="12" state="hidden" r:id="rId7"/>
    <sheet name="Sheet1" sheetId="4" state="veryHidden" r:id="rId8"/>
  </sheets>
  <definedNames>
    <definedName name="_xlnm._FilterDatabase" localSheetId="0" hidden="1">試算シート!$AN$9:$AN$14</definedName>
    <definedName name="_xlnm.Print_Area" localSheetId="0">試算シート!$A$1:$AN$42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19" i="1"/>
  <c r="I17" i="1"/>
  <c r="I15" i="1"/>
  <c r="I13" i="1"/>
  <c r="I11" i="1"/>
  <c r="T39" i="8"/>
  <c r="T35" i="8"/>
  <c r="B5" i="8" l="1"/>
  <c r="L3" i="9" l="1"/>
  <c r="E21" i="9" l="1"/>
  <c r="B26" i="8" s="1"/>
  <c r="E20" i="9"/>
  <c r="B25" i="8" s="1"/>
  <c r="I20" i="9"/>
  <c r="N20" i="9"/>
  <c r="N25" i="9"/>
  <c r="N24" i="9"/>
  <c r="N23" i="9"/>
  <c r="N22" i="9"/>
  <c r="N21" i="9"/>
  <c r="Q22" i="9"/>
  <c r="Q23" i="9"/>
  <c r="Q24" i="9"/>
  <c r="Q25" i="9"/>
  <c r="Q21" i="9"/>
  <c r="Q20" i="9"/>
  <c r="P20" i="9"/>
  <c r="I25" i="8" l="1"/>
  <c r="D20" i="9"/>
  <c r="AD42" i="1" l="1"/>
  <c r="W42" i="1"/>
  <c r="P42" i="1"/>
  <c r="I42" i="1"/>
  <c r="K9" i="9"/>
  <c r="I37" i="1" s="1"/>
  <c r="S35" i="8" l="1"/>
  <c r="E21" i="11"/>
  <c r="E21" i="10"/>
  <c r="M18" i="11" l="1"/>
  <c r="M15" i="11"/>
  <c r="M12" i="11"/>
  <c r="M9" i="11"/>
  <c r="M6" i="11"/>
  <c r="M10" i="11"/>
  <c r="M19" i="11"/>
  <c r="M7" i="11"/>
  <c r="M13" i="11"/>
  <c r="M17" i="11"/>
  <c r="M14" i="11"/>
  <c r="M11" i="11"/>
  <c r="M8" i="11"/>
  <c r="M5" i="11"/>
  <c r="M16" i="11"/>
  <c r="M4" i="11"/>
  <c r="M12" i="10"/>
  <c r="M7" i="10"/>
  <c r="M4" i="10"/>
  <c r="I2" i="10"/>
  <c r="M18" i="10"/>
  <c r="M9" i="10"/>
  <c r="M17" i="10"/>
  <c r="M14" i="10"/>
  <c r="M11" i="10"/>
  <c r="M5" i="10"/>
  <c r="M8" i="10"/>
  <c r="M15" i="10"/>
  <c r="M6" i="10"/>
  <c r="M19" i="10"/>
  <c r="M16" i="10"/>
  <c r="M13" i="10"/>
  <c r="M10" i="10"/>
  <c r="I17" i="10"/>
  <c r="I16" i="10"/>
  <c r="I15" i="10"/>
  <c r="I14" i="10"/>
  <c r="I12" i="10"/>
  <c r="I11" i="10"/>
  <c r="I7" i="10"/>
  <c r="I10" i="10"/>
  <c r="I9" i="10"/>
  <c r="E2" i="10"/>
  <c r="I6" i="10"/>
  <c r="I5" i="10"/>
  <c r="I3" i="10"/>
  <c r="I18" i="10"/>
  <c r="I16" i="11"/>
  <c r="J11" i="11"/>
  <c r="I12" i="11"/>
  <c r="I9" i="11"/>
  <c r="I5" i="11"/>
  <c r="I3" i="11"/>
  <c r="I2" i="11"/>
  <c r="I17" i="11"/>
  <c r="I15" i="11"/>
  <c r="K11" i="11"/>
  <c r="L11" i="11"/>
  <c r="I10" i="11"/>
  <c r="I7" i="11"/>
  <c r="I6" i="11"/>
  <c r="I18" i="11"/>
  <c r="I14" i="11"/>
  <c r="H21" i="11"/>
  <c r="G21" i="11"/>
  <c r="F21" i="11"/>
  <c r="E19" i="11"/>
  <c r="B19" i="11"/>
  <c r="A19" i="11" s="1"/>
  <c r="E18" i="11"/>
  <c r="B18" i="11"/>
  <c r="A18" i="11" s="1"/>
  <c r="E17" i="11"/>
  <c r="B17" i="11"/>
  <c r="A17" i="11" s="1"/>
  <c r="E16" i="11"/>
  <c r="B16" i="11"/>
  <c r="A16" i="11" s="1"/>
  <c r="E15" i="11"/>
  <c r="B15" i="11"/>
  <c r="A15" i="11" s="1"/>
  <c r="E14" i="11"/>
  <c r="B14" i="11"/>
  <c r="A14" i="11" s="1"/>
  <c r="E13" i="11"/>
  <c r="B13" i="11"/>
  <c r="A13" i="11" s="1"/>
  <c r="E12" i="11"/>
  <c r="B12" i="11"/>
  <c r="A12" i="11" s="1"/>
  <c r="I11" i="11"/>
  <c r="E11" i="11"/>
  <c r="B11" i="11"/>
  <c r="A11" i="11" s="1"/>
  <c r="E10" i="11"/>
  <c r="B10" i="11"/>
  <c r="A10" i="11" s="1"/>
  <c r="E9" i="11"/>
  <c r="B9" i="11"/>
  <c r="A9" i="11" s="1"/>
  <c r="E8" i="11"/>
  <c r="B8" i="11"/>
  <c r="A8" i="11" s="1"/>
  <c r="E7" i="11"/>
  <c r="B7" i="11"/>
  <c r="A7" i="11" s="1"/>
  <c r="E6" i="11"/>
  <c r="B6" i="11"/>
  <c r="A6" i="11" s="1"/>
  <c r="E5" i="11"/>
  <c r="B5" i="11"/>
  <c r="A5" i="11" s="1"/>
  <c r="E4" i="11"/>
  <c r="B4" i="11"/>
  <c r="A4" i="11" s="1"/>
  <c r="E3" i="11"/>
  <c r="B3" i="11"/>
  <c r="A3" i="11" s="1"/>
  <c r="E2" i="11"/>
  <c r="B2" i="11"/>
  <c r="A2" i="11" s="1"/>
  <c r="H21" i="10"/>
  <c r="G21" i="10"/>
  <c r="G8" i="10" s="1"/>
  <c r="F21" i="10"/>
  <c r="E19" i="10"/>
  <c r="B19" i="10"/>
  <c r="A19" i="10" s="1"/>
  <c r="E18" i="10"/>
  <c r="B18" i="10"/>
  <c r="A18" i="10" s="1"/>
  <c r="E17" i="10"/>
  <c r="B17" i="10"/>
  <c r="A17" i="10" s="1"/>
  <c r="E16" i="10"/>
  <c r="B16" i="10"/>
  <c r="A16" i="10" s="1"/>
  <c r="E15" i="10"/>
  <c r="B15" i="10"/>
  <c r="A15" i="10" s="1"/>
  <c r="E14" i="10"/>
  <c r="B14" i="10"/>
  <c r="A14" i="10" s="1"/>
  <c r="E13" i="10"/>
  <c r="B13" i="10"/>
  <c r="A13" i="10" s="1"/>
  <c r="E12" i="10"/>
  <c r="B12" i="10"/>
  <c r="A12" i="10" s="1"/>
  <c r="E11" i="10"/>
  <c r="B11" i="10"/>
  <c r="A11" i="10" s="1"/>
  <c r="E10" i="10"/>
  <c r="B10" i="10"/>
  <c r="A10" i="10" s="1"/>
  <c r="E9" i="10"/>
  <c r="B9" i="10"/>
  <c r="A9" i="10" s="1"/>
  <c r="F8" i="10"/>
  <c r="E8" i="10"/>
  <c r="B8" i="10"/>
  <c r="A8" i="10" s="1"/>
  <c r="E7" i="10"/>
  <c r="B7" i="10"/>
  <c r="A7" i="10" s="1"/>
  <c r="E6" i="10"/>
  <c r="B6" i="10"/>
  <c r="A6" i="10" s="1"/>
  <c r="E5" i="10"/>
  <c r="B5" i="10"/>
  <c r="A5" i="10" s="1"/>
  <c r="E4" i="10"/>
  <c r="B4" i="10"/>
  <c r="A4" i="10" s="1"/>
  <c r="E3" i="10"/>
  <c r="B3" i="10"/>
  <c r="A3" i="10" s="1"/>
  <c r="B2" i="10"/>
  <c r="A2" i="10" s="1"/>
  <c r="O18" i="11" l="1"/>
  <c r="O15" i="11"/>
  <c r="O12" i="11"/>
  <c r="O9" i="11"/>
  <c r="O6" i="11"/>
  <c r="O17" i="11"/>
  <c r="O14" i="11"/>
  <c r="O11" i="11"/>
  <c r="O8" i="11"/>
  <c r="O5" i="11"/>
  <c r="O13" i="11"/>
  <c r="O7" i="11"/>
  <c r="O16" i="11"/>
  <c r="O19" i="11"/>
  <c r="O10" i="11"/>
  <c r="O4" i="11"/>
  <c r="H11" i="11"/>
  <c r="P18" i="11"/>
  <c r="P15" i="11"/>
  <c r="P12" i="11"/>
  <c r="P9" i="11"/>
  <c r="P6" i="11"/>
  <c r="P17" i="11"/>
  <c r="P14" i="11"/>
  <c r="P11" i="11"/>
  <c r="P8" i="11"/>
  <c r="P5" i="11"/>
  <c r="P19" i="11"/>
  <c r="P16" i="11"/>
  <c r="P13" i="11"/>
  <c r="P10" i="11"/>
  <c r="P7" i="11"/>
  <c r="P4" i="11"/>
  <c r="N18" i="11"/>
  <c r="N15" i="11"/>
  <c r="N12" i="11"/>
  <c r="N9" i="11"/>
  <c r="N6" i="11"/>
  <c r="N13" i="11"/>
  <c r="N4" i="11"/>
  <c r="N14" i="11"/>
  <c r="N8" i="11"/>
  <c r="N16" i="11"/>
  <c r="N7" i="11"/>
  <c r="N17" i="11"/>
  <c r="N11" i="11"/>
  <c r="N5" i="11"/>
  <c r="N19" i="11"/>
  <c r="N10" i="11"/>
  <c r="N12" i="10"/>
  <c r="N7" i="10"/>
  <c r="O7" i="10"/>
  <c r="O12" i="10"/>
  <c r="H8" i="10"/>
  <c r="P7" i="10"/>
  <c r="P12" i="10"/>
  <c r="F19" i="10"/>
  <c r="N5" i="10"/>
  <c r="N18" i="10"/>
  <c r="N8" i="10"/>
  <c r="N15" i="10"/>
  <c r="N6" i="10"/>
  <c r="N17" i="10"/>
  <c r="N11" i="10"/>
  <c r="N4" i="10"/>
  <c r="N19" i="10"/>
  <c r="N16" i="10"/>
  <c r="N13" i="10"/>
  <c r="N10" i="10"/>
  <c r="N9" i="10"/>
  <c r="N14" i="10"/>
  <c r="J5" i="10"/>
  <c r="J10" i="10"/>
  <c r="J16" i="10"/>
  <c r="J6" i="10"/>
  <c r="J11" i="10"/>
  <c r="J2" i="10"/>
  <c r="J12" i="10"/>
  <c r="J17" i="10"/>
  <c r="J7" i="10"/>
  <c r="J14" i="10"/>
  <c r="J18" i="10"/>
  <c r="J3" i="10"/>
  <c r="J9" i="10"/>
  <c r="J15" i="10"/>
  <c r="O17" i="10"/>
  <c r="O14" i="10"/>
  <c r="O11" i="10"/>
  <c r="O9" i="10"/>
  <c r="O5" i="10"/>
  <c r="O8" i="10"/>
  <c r="O19" i="10"/>
  <c r="O16" i="10"/>
  <c r="O13" i="10"/>
  <c r="O10" i="10"/>
  <c r="O4" i="10"/>
  <c r="O18" i="10"/>
  <c r="O15" i="10"/>
  <c r="O6" i="10"/>
  <c r="K15" i="10"/>
  <c r="K5" i="10"/>
  <c r="K10" i="10"/>
  <c r="K11" i="10"/>
  <c r="K16" i="10"/>
  <c r="K2" i="10"/>
  <c r="K6" i="10"/>
  <c r="K12" i="10"/>
  <c r="K17" i="10"/>
  <c r="K7" i="10"/>
  <c r="K14" i="10"/>
  <c r="K18" i="10"/>
  <c r="K9" i="10"/>
  <c r="K3" i="10"/>
  <c r="G14" i="10"/>
  <c r="H9" i="10"/>
  <c r="P5" i="10"/>
  <c r="P19" i="10"/>
  <c r="P17" i="10"/>
  <c r="P14" i="10"/>
  <c r="P11" i="10"/>
  <c r="P15" i="10"/>
  <c r="P13" i="10"/>
  <c r="P8" i="10"/>
  <c r="P16" i="10"/>
  <c r="P9" i="10"/>
  <c r="P4" i="10"/>
  <c r="P10" i="10"/>
  <c r="P6" i="10"/>
  <c r="P18" i="10"/>
  <c r="L15" i="10"/>
  <c r="L5" i="10"/>
  <c r="L10" i="10"/>
  <c r="L2" i="10"/>
  <c r="L11" i="10"/>
  <c r="L16" i="10"/>
  <c r="L6" i="10"/>
  <c r="L12" i="10"/>
  <c r="L17" i="10"/>
  <c r="L7" i="10"/>
  <c r="L14" i="10"/>
  <c r="L18" i="10"/>
  <c r="L3" i="10"/>
  <c r="L9" i="10"/>
  <c r="J16" i="11"/>
  <c r="J12" i="11"/>
  <c r="J18" i="11"/>
  <c r="J9" i="11"/>
  <c r="J10" i="11"/>
  <c r="J6" i="11"/>
  <c r="J7" i="11"/>
  <c r="J17" i="11"/>
  <c r="J3" i="11"/>
  <c r="J5" i="11"/>
  <c r="J14" i="11"/>
  <c r="J15" i="11"/>
  <c r="H9" i="11"/>
  <c r="L6" i="11"/>
  <c r="L16" i="11"/>
  <c r="L17" i="11"/>
  <c r="L12" i="11"/>
  <c r="L9" i="11"/>
  <c r="L5" i="11"/>
  <c r="L10" i="11"/>
  <c r="L15" i="11"/>
  <c r="L7" i="11"/>
  <c r="L18" i="11"/>
  <c r="L3" i="11"/>
  <c r="L14" i="11"/>
  <c r="K5" i="11"/>
  <c r="K10" i="11"/>
  <c r="K15" i="11"/>
  <c r="K6" i="11"/>
  <c r="K7" i="11"/>
  <c r="K17" i="11"/>
  <c r="K9" i="11"/>
  <c r="K14" i="11"/>
  <c r="K16" i="11"/>
  <c r="K12" i="11"/>
  <c r="K18" i="11"/>
  <c r="K3" i="11"/>
  <c r="H13" i="11"/>
  <c r="J2" i="11"/>
  <c r="G9" i="11"/>
  <c r="G4" i="10"/>
  <c r="F11" i="11"/>
  <c r="F3" i="11"/>
  <c r="H3" i="11"/>
  <c r="F15" i="11"/>
  <c r="F17" i="11"/>
  <c r="F2" i="11"/>
  <c r="F12" i="11"/>
  <c r="G2" i="11"/>
  <c r="F4" i="11"/>
  <c r="F19" i="11"/>
  <c r="F6" i="11"/>
  <c r="F8" i="11"/>
  <c r="F14" i="11"/>
  <c r="H2" i="11"/>
  <c r="F9" i="11"/>
  <c r="F14" i="10"/>
  <c r="F6" i="10"/>
  <c r="G7" i="10"/>
  <c r="H3" i="10"/>
  <c r="F13" i="10"/>
  <c r="G13" i="10"/>
  <c r="G12" i="10"/>
  <c r="G6" i="10"/>
  <c r="F7" i="10"/>
  <c r="G3" i="10"/>
  <c r="F9" i="10"/>
  <c r="G11" i="10"/>
  <c r="F17" i="10"/>
  <c r="G19" i="10"/>
  <c r="H6" i="10"/>
  <c r="F12" i="10"/>
  <c r="H11" i="10"/>
  <c r="F16" i="10"/>
  <c r="G17" i="10"/>
  <c r="F18" i="10"/>
  <c r="G5" i="10"/>
  <c r="F2" i="10"/>
  <c r="G9" i="10"/>
  <c r="G2" i="10"/>
  <c r="F10" i="10"/>
  <c r="F15" i="10"/>
  <c r="G16" i="10"/>
  <c r="G18" i="10"/>
  <c r="F5" i="10"/>
  <c r="F4" i="10"/>
  <c r="G10" i="10"/>
  <c r="G15" i="10"/>
  <c r="G5" i="11"/>
  <c r="H5" i="11"/>
  <c r="G6" i="11"/>
  <c r="G8" i="11"/>
  <c r="K2" i="11"/>
  <c r="H6" i="11"/>
  <c r="H8" i="11"/>
  <c r="L2" i="11"/>
  <c r="G19" i="11"/>
  <c r="G17" i="11"/>
  <c r="H19" i="11"/>
  <c r="G4" i="11"/>
  <c r="G14" i="11"/>
  <c r="H16" i="11"/>
  <c r="H17" i="11"/>
  <c r="H4" i="11"/>
  <c r="H14" i="11"/>
  <c r="G15" i="11"/>
  <c r="G13" i="11"/>
  <c r="G3" i="11"/>
  <c r="G11" i="11"/>
  <c r="F13" i="11"/>
  <c r="F5" i="11"/>
  <c r="F16" i="11"/>
  <c r="F7" i="11"/>
  <c r="F18" i="11"/>
  <c r="F10" i="11"/>
  <c r="G16" i="11"/>
  <c r="G7" i="11"/>
  <c r="G18" i="11"/>
  <c r="G10" i="11"/>
  <c r="G12" i="11"/>
  <c r="H7" i="11"/>
  <c r="H18" i="11"/>
  <c r="H10" i="11"/>
  <c r="H12" i="11"/>
  <c r="H15" i="11"/>
  <c r="H13" i="10"/>
  <c r="H5" i="10"/>
  <c r="H16" i="10"/>
  <c r="H7" i="10"/>
  <c r="H18" i="10"/>
  <c r="H10" i="10"/>
  <c r="H12" i="10"/>
  <c r="H15" i="10"/>
  <c r="H2" i="10"/>
  <c r="H4" i="10"/>
  <c r="H17" i="10"/>
  <c r="H14" i="10"/>
  <c r="H19" i="10"/>
  <c r="F3" i="10"/>
  <c r="F11" i="10"/>
  <c r="C9" i="8"/>
  <c r="C6" i="8" l="1"/>
  <c r="P22" i="9" l="1"/>
  <c r="P23" i="9"/>
  <c r="P24" i="9"/>
  <c r="P25" i="9"/>
  <c r="P21" i="9"/>
  <c r="P26" i="9" l="1"/>
  <c r="Q26" i="9"/>
  <c r="D7" i="8"/>
  <c r="D8" i="8"/>
  <c r="D9" i="8"/>
  <c r="D10" i="8"/>
  <c r="D6" i="8"/>
  <c r="D5" i="8"/>
  <c r="G11" i="1"/>
  <c r="C35" i="8"/>
  <c r="M35" i="8"/>
  <c r="AD29" i="1" s="1"/>
  <c r="F25" i="8"/>
  <c r="C7" i="8"/>
  <c r="D32" i="9"/>
  <c r="C32" i="9"/>
  <c r="C5" i="8"/>
  <c r="D37" i="8"/>
  <c r="D38" i="8"/>
  <c r="D39" i="8"/>
  <c r="D40" i="8"/>
  <c r="D36" i="8"/>
  <c r="I5" i="8" l="1"/>
  <c r="Q27" i="9"/>
  <c r="Q28" i="9" s="1"/>
  <c r="B35" i="8"/>
  <c r="D16" i="8"/>
  <c r="D20" i="8"/>
  <c r="D19" i="8"/>
  <c r="D18" i="8"/>
  <c r="D15" i="8"/>
  <c r="D17" i="8"/>
  <c r="C17" i="8"/>
  <c r="C8" i="8"/>
  <c r="C10" i="8"/>
  <c r="C16" i="8"/>
  <c r="E25" i="9"/>
  <c r="B30" i="8" s="1"/>
  <c r="D25" i="9"/>
  <c r="L8" i="9" s="1"/>
  <c r="E24" i="9"/>
  <c r="B29" i="8" s="1"/>
  <c r="D24" i="9"/>
  <c r="L7" i="9" s="1"/>
  <c r="E23" i="9"/>
  <c r="B28" i="8" s="1"/>
  <c r="D23" i="9"/>
  <c r="L6" i="9" s="1"/>
  <c r="E22" i="9"/>
  <c r="B27" i="8" s="1"/>
  <c r="D22" i="9"/>
  <c r="D21" i="9"/>
  <c r="L4" i="9" s="1"/>
  <c r="I26" i="8"/>
  <c r="K15" i="8"/>
  <c r="P29" i="1" s="1"/>
  <c r="K5" i="8"/>
  <c r="I29" i="1" s="1"/>
  <c r="F35" i="8"/>
  <c r="F15" i="8"/>
  <c r="F5" i="8"/>
  <c r="I30" i="8" l="1"/>
  <c r="E30" i="8"/>
  <c r="I29" i="8"/>
  <c r="E29" i="8"/>
  <c r="I28" i="8"/>
  <c r="E28" i="8"/>
  <c r="I27" i="8"/>
  <c r="I22" i="9"/>
  <c r="L5" i="9"/>
  <c r="I21" i="9"/>
  <c r="B6" i="8"/>
  <c r="K35" i="8"/>
  <c r="I35" i="8"/>
  <c r="K25" i="8"/>
  <c r="W29" i="1" s="1"/>
  <c r="B10" i="8"/>
  <c r="B40" i="8" s="1"/>
  <c r="I40" i="8" s="1"/>
  <c r="I25" i="9"/>
  <c r="B9" i="8"/>
  <c r="B39" i="8" s="1"/>
  <c r="I39" i="8" s="1"/>
  <c r="I24" i="9"/>
  <c r="B8" i="8"/>
  <c r="B38" i="8" s="1"/>
  <c r="I38" i="8" s="1"/>
  <c r="I23" i="9"/>
  <c r="G25" i="9"/>
  <c r="O25" i="9" s="1"/>
  <c r="B7" i="8"/>
  <c r="B37" i="8" s="1"/>
  <c r="I37" i="8" s="1"/>
  <c r="I38" i="1"/>
  <c r="C20" i="8"/>
  <c r="D26" i="9"/>
  <c r="E26" i="9"/>
  <c r="C19" i="8"/>
  <c r="C18" i="8"/>
  <c r="B15" i="8"/>
  <c r="C15" i="8"/>
  <c r="J25" i="8" l="1"/>
  <c r="W27" i="1" s="1"/>
  <c r="I15" i="8"/>
  <c r="B20" i="8"/>
  <c r="I20" i="8" s="1"/>
  <c r="C40" i="8"/>
  <c r="I10" i="8"/>
  <c r="I9" i="8"/>
  <c r="C38" i="8"/>
  <c r="B19" i="8"/>
  <c r="I19" i="8" s="1"/>
  <c r="I8" i="8"/>
  <c r="C39" i="8"/>
  <c r="K39" i="8" s="1"/>
  <c r="B18" i="8"/>
  <c r="I18" i="8" s="1"/>
  <c r="I7" i="8"/>
  <c r="C37" i="8"/>
  <c r="B17" i="8"/>
  <c r="I17" i="8" s="1"/>
  <c r="H25" i="9"/>
  <c r="I26" i="9"/>
  <c r="I6" i="8"/>
  <c r="B36" i="8"/>
  <c r="B16" i="8"/>
  <c r="I16" i="8" s="1"/>
  <c r="K40" i="8" l="1"/>
  <c r="T40" i="8"/>
  <c r="K38" i="8"/>
  <c r="T38" i="8"/>
  <c r="K37" i="8"/>
  <c r="T37" i="8"/>
  <c r="J5" i="8"/>
  <c r="I27" i="1" s="1"/>
  <c r="C36" i="8"/>
  <c r="K36" i="8" s="1"/>
  <c r="I36" i="8"/>
  <c r="J35" i="8" s="1"/>
  <c r="J15" i="8"/>
  <c r="P27" i="1" s="1"/>
  <c r="L35" i="8" l="1"/>
  <c r="C73" i="5"/>
  <c r="C72" i="5"/>
  <c r="C71" i="5"/>
  <c r="C70" i="5"/>
  <c r="M8" i="9" s="1"/>
  <c r="C69" i="5"/>
  <c r="C60" i="5"/>
  <c r="C59" i="5"/>
  <c r="C58" i="5"/>
  <c r="C57" i="5"/>
  <c r="M7" i="9" s="1"/>
  <c r="C56" i="5"/>
  <c r="C47" i="5"/>
  <c r="C46" i="5"/>
  <c r="C45" i="5"/>
  <c r="C44" i="5"/>
  <c r="M6" i="9" s="1"/>
  <c r="C43" i="5"/>
  <c r="C34" i="5"/>
  <c r="C33" i="5"/>
  <c r="C32" i="5"/>
  <c r="C31" i="5"/>
  <c r="M5" i="9" s="1"/>
  <c r="C30" i="5"/>
  <c r="C21" i="5"/>
  <c r="C20" i="5"/>
  <c r="C19" i="5"/>
  <c r="C18" i="5"/>
  <c r="C17" i="5"/>
  <c r="C8" i="5"/>
  <c r="C7" i="5"/>
  <c r="C6" i="5"/>
  <c r="C5" i="5"/>
  <c r="C4" i="5"/>
  <c r="N8" i="9" l="1"/>
  <c r="P8" i="9" s="1"/>
  <c r="O8" i="9"/>
  <c r="Q8" i="9" s="1"/>
  <c r="M4" i="9"/>
  <c r="AD27" i="1"/>
  <c r="M3" i="9"/>
  <c r="R8" i="9" l="1"/>
  <c r="F25" i="9" s="1"/>
  <c r="J8" i="9"/>
  <c r="H73" i="5"/>
  <c r="H72" i="5"/>
  <c r="H71" i="5"/>
  <c r="H70" i="5"/>
  <c r="H69" i="5"/>
  <c r="F73" i="5"/>
  <c r="F72" i="5"/>
  <c r="F71" i="5"/>
  <c r="F70" i="5"/>
  <c r="F69" i="5"/>
  <c r="H60" i="5"/>
  <c r="H59" i="5"/>
  <c r="H58" i="5"/>
  <c r="H57" i="5"/>
  <c r="H56" i="5"/>
  <c r="F60" i="5"/>
  <c r="F59" i="5"/>
  <c r="F58" i="5"/>
  <c r="F57" i="5"/>
  <c r="F56" i="5"/>
  <c r="G24" i="9" s="1"/>
  <c r="O24" i="9" s="1"/>
  <c r="H47" i="5"/>
  <c r="H46" i="5"/>
  <c r="H45" i="5"/>
  <c r="H44" i="5"/>
  <c r="H43" i="5"/>
  <c r="F47" i="5"/>
  <c r="F46" i="5"/>
  <c r="F45" i="5"/>
  <c r="F44" i="5"/>
  <c r="F43" i="5"/>
  <c r="G23" i="9" s="1"/>
  <c r="O23" i="9" s="1"/>
  <c r="H34" i="5"/>
  <c r="H33" i="5"/>
  <c r="H32" i="5"/>
  <c r="H31" i="5"/>
  <c r="H30" i="5"/>
  <c r="F34" i="5"/>
  <c r="F33" i="5"/>
  <c r="F32" i="5"/>
  <c r="F31" i="5"/>
  <c r="F30" i="5"/>
  <c r="G22" i="9" s="1"/>
  <c r="O22" i="9" s="1"/>
  <c r="H21" i="5"/>
  <c r="H20" i="5"/>
  <c r="H19" i="5"/>
  <c r="H18" i="5"/>
  <c r="H17" i="5"/>
  <c r="G21" i="9" s="1"/>
  <c r="F21" i="5"/>
  <c r="F20" i="5"/>
  <c r="F19" i="5"/>
  <c r="F18" i="5"/>
  <c r="F17" i="5"/>
  <c r="H4" i="5"/>
  <c r="G20" i="9" s="1"/>
  <c r="H20" i="9" s="1"/>
  <c r="F4" i="5"/>
  <c r="J25" i="9" l="1"/>
  <c r="L25" i="9" s="1"/>
  <c r="K25" i="9"/>
  <c r="O21" i="9"/>
  <c r="E10" i="8"/>
  <c r="E40" i="8" s="1"/>
  <c r="G40" i="8" s="1"/>
  <c r="G30" i="8"/>
  <c r="N7" i="9"/>
  <c r="P7" i="9" s="1"/>
  <c r="H24" i="9"/>
  <c r="O7" i="9" s="1"/>
  <c r="Q7" i="9" s="1"/>
  <c r="N6" i="9"/>
  <c r="P6" i="9" s="1"/>
  <c r="H23" i="9"/>
  <c r="O6" i="9" s="1"/>
  <c r="Q6" i="9" s="1"/>
  <c r="N5" i="9"/>
  <c r="P5" i="9" s="1"/>
  <c r="H22" i="9"/>
  <c r="O5" i="9" s="1"/>
  <c r="Q5" i="9" s="1"/>
  <c r="N4" i="9"/>
  <c r="P4" i="9" s="1"/>
  <c r="R4" i="9" s="1"/>
  <c r="F21" i="9" s="1"/>
  <c r="H21" i="9"/>
  <c r="O4" i="9" s="1"/>
  <c r="Q4" i="9" s="1"/>
  <c r="H8" i="5"/>
  <c r="H7" i="5"/>
  <c r="H6" i="5"/>
  <c r="H5" i="5"/>
  <c r="F8" i="5"/>
  <c r="F7" i="5"/>
  <c r="F6" i="5"/>
  <c r="F5" i="5"/>
  <c r="K21" i="9" l="1"/>
  <c r="G10" i="8"/>
  <c r="E20" i="8"/>
  <c r="G20" i="8" s="1"/>
  <c r="O20" i="9"/>
  <c r="O26" i="9" s="1"/>
  <c r="J6" i="9"/>
  <c r="R6" i="9"/>
  <c r="F23" i="9" s="1"/>
  <c r="K23" i="9" s="1"/>
  <c r="J7" i="9"/>
  <c r="R7" i="9"/>
  <c r="F24" i="9" s="1"/>
  <c r="K24" i="9" s="1"/>
  <c r="J4" i="9"/>
  <c r="J5" i="9"/>
  <c r="R5" i="9"/>
  <c r="F22" i="9" s="1"/>
  <c r="K22" i="9" s="1"/>
  <c r="N3" i="9" l="1"/>
  <c r="P3" i="9" s="1"/>
  <c r="G26" i="9"/>
  <c r="J24" i="9"/>
  <c r="L24" i="9" s="1"/>
  <c r="J23" i="9"/>
  <c r="L23" i="9" s="1"/>
  <c r="J22" i="9"/>
  <c r="L22" i="9" s="1"/>
  <c r="J21" i="9"/>
  <c r="L21" i="9" s="1"/>
  <c r="R3" i="9" l="1"/>
  <c r="F20" i="9" s="1"/>
  <c r="J3" i="9"/>
  <c r="H26" i="9"/>
  <c r="O3" i="9"/>
  <c r="Q3" i="9" s="1"/>
  <c r="E9" i="8"/>
  <c r="E19" i="8" s="1"/>
  <c r="G29" i="8"/>
  <c r="E8" i="8"/>
  <c r="G28" i="8"/>
  <c r="E6" i="8"/>
  <c r="E26" i="8" s="1"/>
  <c r="G26" i="8" s="1"/>
  <c r="E7" i="8"/>
  <c r="E27" i="8" s="1"/>
  <c r="G27" i="8" s="1"/>
  <c r="J20" i="9" l="1"/>
  <c r="L20" i="9" s="1"/>
  <c r="E5" i="8" s="1"/>
  <c r="E25" i="8" s="1"/>
  <c r="K20" i="9"/>
  <c r="K26" i="9" s="1"/>
  <c r="F26" i="9"/>
  <c r="J26" i="9" s="1"/>
  <c r="S4" i="9"/>
  <c r="S8" i="9"/>
  <c r="S7" i="9"/>
  <c r="S5" i="9"/>
  <c r="S6" i="9"/>
  <c r="G6" i="8"/>
  <c r="E16" i="8"/>
  <c r="G16" i="8" s="1"/>
  <c r="E18" i="8"/>
  <c r="G18" i="8" s="1"/>
  <c r="G7" i="8"/>
  <c r="E17" i="8"/>
  <c r="G17" i="8" s="1"/>
  <c r="E39" i="8"/>
  <c r="G39" i="8" s="1"/>
  <c r="G9" i="8"/>
  <c r="E38" i="8"/>
  <c r="G38" i="8" s="1"/>
  <c r="G8" i="8"/>
  <c r="G19" i="8"/>
  <c r="B35" i="9"/>
  <c r="C35" i="9"/>
  <c r="D35" i="9"/>
  <c r="B36" i="9"/>
  <c r="C36" i="9"/>
  <c r="D36" i="9"/>
  <c r="B37" i="9"/>
  <c r="C37" i="9"/>
  <c r="D37" i="9"/>
  <c r="B34" i="9"/>
  <c r="B33" i="9"/>
  <c r="C34" i="9"/>
  <c r="D33" i="9"/>
  <c r="D34" i="9"/>
  <c r="C33" i="9"/>
  <c r="E36" i="8"/>
  <c r="G36" i="8" s="1"/>
  <c r="E37" i="8"/>
  <c r="G37" i="8" s="1"/>
  <c r="G25" i="8" l="1"/>
  <c r="H25" i="8" s="1"/>
  <c r="L26" i="9"/>
  <c r="G5" i="8"/>
  <c r="H5" i="8" s="1"/>
  <c r="L5" i="8" s="1"/>
  <c r="E15" i="8"/>
  <c r="G15" i="8" s="1"/>
  <c r="H34" i="9"/>
  <c r="H33" i="9"/>
  <c r="H32" i="9"/>
  <c r="F32" i="9" s="1"/>
  <c r="W25" i="1" l="1"/>
  <c r="L25" i="8"/>
  <c r="F35" i="9"/>
  <c r="F34" i="9"/>
  <c r="F33" i="9"/>
  <c r="M5" i="8" l="1"/>
  <c r="Q29" i="9"/>
  <c r="Q30" i="9"/>
  <c r="I25" i="1"/>
  <c r="E35" i="8"/>
  <c r="G35" i="8" s="1"/>
  <c r="O35" i="8" l="1"/>
  <c r="R35" i="8" s="1"/>
  <c r="O5" i="8"/>
  <c r="N5" i="8"/>
  <c r="P5" i="8" s="1"/>
  <c r="M25" i="8"/>
  <c r="N28" i="8" s="1"/>
  <c r="N9" i="8"/>
  <c r="P9" i="8" s="1"/>
  <c r="N8" i="8"/>
  <c r="P8" i="8" s="1"/>
  <c r="N10" i="8"/>
  <c r="P10" i="8" s="1"/>
  <c r="N6" i="8"/>
  <c r="P6" i="8" s="1"/>
  <c r="M15" i="8"/>
  <c r="N15" i="8" s="1"/>
  <c r="P15" i="8" s="1"/>
  <c r="I36" i="1"/>
  <c r="N7" i="8"/>
  <c r="P7" i="8" s="1"/>
  <c r="P20" i="8"/>
  <c r="P35" i="8"/>
  <c r="H35" i="8"/>
  <c r="H15" i="8"/>
  <c r="P25" i="1" s="1"/>
  <c r="Q35" i="8" l="1"/>
  <c r="P37" i="8"/>
  <c r="S37" i="8" s="1"/>
  <c r="Q40" i="8"/>
  <c r="P39" i="8"/>
  <c r="S39" i="8" s="1"/>
  <c r="Q37" i="8"/>
  <c r="Q39" i="8"/>
  <c r="P38" i="8"/>
  <c r="Q36" i="8"/>
  <c r="Q38" i="8"/>
  <c r="P36" i="8"/>
  <c r="P40" i="8"/>
  <c r="N20" i="8"/>
  <c r="N17" i="8"/>
  <c r="P17" i="8" s="1"/>
  <c r="P11" i="8"/>
  <c r="O25" i="8"/>
  <c r="N26" i="8"/>
  <c r="N29" i="8"/>
  <c r="N25" i="8"/>
  <c r="N27" i="8"/>
  <c r="N11" i="8"/>
  <c r="O15" i="8"/>
  <c r="N18" i="8"/>
  <c r="N19" i="8"/>
  <c r="P19" i="8" s="1"/>
  <c r="N16" i="8"/>
  <c r="P16" i="8" s="1"/>
  <c r="N30" i="8"/>
  <c r="S40" i="8"/>
  <c r="P18" i="8"/>
  <c r="S38" i="8"/>
  <c r="S36" i="8"/>
  <c r="AD25" i="1"/>
  <c r="N35" i="8"/>
  <c r="L15" i="8"/>
  <c r="T36" i="8" l="1"/>
  <c r="T41" i="8" s="1"/>
  <c r="Q41" i="8"/>
  <c r="P41" i="8"/>
  <c r="P35" i="9"/>
  <c r="P36" i="9" s="1"/>
  <c r="N31" i="8"/>
  <c r="P25" i="8" s="1"/>
  <c r="Q25" i="8" s="1"/>
  <c r="R25" i="8" s="1"/>
  <c r="S25" i="8" s="1"/>
  <c r="W33" i="1" s="1"/>
  <c r="P21" i="8"/>
  <c r="N21" i="8"/>
  <c r="S41" i="8"/>
  <c r="P38" i="9" l="1"/>
  <c r="P39" i="9" s="1"/>
  <c r="W31" i="1"/>
  <c r="Q35" i="9"/>
  <c r="Q36" i="9" s="1"/>
  <c r="R36" i="9" s="1"/>
  <c r="U35" i="8"/>
  <c r="V35" i="8" s="1"/>
  <c r="W35" i="8" s="1"/>
  <c r="X35" i="8" s="1"/>
  <c r="AD33" i="1" s="1"/>
  <c r="Q38" i="9" l="1"/>
  <c r="Q39" i="9" s="1"/>
  <c r="R39" i="9" s="1"/>
  <c r="R41" i="9" s="1"/>
  <c r="Q42" i="9" s="1"/>
  <c r="R35" i="9"/>
  <c r="AD31" i="1"/>
  <c r="R38" i="9" l="1"/>
  <c r="Q32" i="9"/>
  <c r="Q15" i="8" s="1"/>
  <c r="R15" i="8" s="1"/>
  <c r="P42" i="9"/>
  <c r="Q31" i="9" s="1"/>
  <c r="Q5" i="8" s="1"/>
  <c r="R5" i="8" s="1"/>
  <c r="I39" i="1" l="1"/>
  <c r="S15" i="8"/>
  <c r="T15" i="8" s="1"/>
  <c r="U15" i="8" s="1"/>
  <c r="P33" i="1" s="1"/>
  <c r="P31" i="1"/>
  <c r="I31" i="1"/>
  <c r="S5" i="8"/>
  <c r="T5" i="8" l="1"/>
  <c r="U5" i="8" s="1"/>
  <c r="I33" i="1" l="1"/>
  <c r="AC36" i="1" s="1"/>
  <c r="AC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N2" authorId="0" shapeId="0" xr:uid="{E377555B-5874-4790-A750-8615A74460BC}">
      <text>
        <r>
          <rPr>
            <b/>
            <sz val="9"/>
            <color indexed="81"/>
            <rFont val="MS P ゴシック"/>
            <family val="3"/>
            <charset val="128"/>
          </rPr>
          <t xml:space="preserve">保険料の計算には反映させていない
</t>
        </r>
      </text>
    </comment>
  </commentList>
</comments>
</file>

<file path=xl/sharedStrings.xml><?xml version="1.0" encoding="utf-8"?>
<sst xmlns="http://schemas.openxmlformats.org/spreadsheetml/2006/main" count="382" uniqueCount="197">
  <si>
    <t>世帯主</t>
    <rPh sb="0" eb="3">
      <t>セタイヌシ</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</si>
  <si>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</si>
  <si>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</si>
  <si>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</si>
  <si>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</si>
  <si>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</si>
  <si>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総所得金額</t>
    <rPh sb="0" eb="3">
      <t>ソウショトク</t>
    </rPh>
    <rPh sb="3" eb="5">
      <t>キンガク</t>
    </rPh>
    <phoneticPr fontId="2"/>
  </si>
  <si>
    <t>加入しない</t>
    <rPh sb="0" eb="2">
      <t>カニュウ</t>
    </rPh>
    <phoneticPr fontId="2"/>
  </si>
  <si>
    <t>円</t>
    <rPh sb="0" eb="1">
      <t>エン</t>
    </rPh>
    <phoneticPr fontId="2"/>
  </si>
  <si>
    <t>支援分</t>
    <rPh sb="0" eb="2">
      <t>シエン</t>
    </rPh>
    <rPh sb="2" eb="3">
      <t>ブン</t>
    </rPh>
    <phoneticPr fontId="2"/>
  </si>
  <si>
    <t>介護分</t>
    <rPh sb="0" eb="2">
      <t>カイゴ</t>
    </rPh>
    <rPh sb="2" eb="3">
      <t>ブン</t>
    </rPh>
    <phoneticPr fontId="2"/>
  </si>
  <si>
    <t>＋</t>
    <phoneticPr fontId="2"/>
  </si>
  <si>
    <t>合計</t>
    <rPh sb="0" eb="2">
      <t>ゴウケイ</t>
    </rPh>
    <phoneticPr fontId="2"/>
  </si>
  <si>
    <t>所得割</t>
    <rPh sb="0" eb="2">
      <t>ショトク</t>
    </rPh>
    <rPh sb="2" eb="3">
      <t>ワリ</t>
    </rPh>
    <phoneticPr fontId="2"/>
  </si>
  <si>
    <t>均等割</t>
    <rPh sb="0" eb="2">
      <t>キントウ</t>
    </rPh>
    <phoneticPr fontId="2"/>
  </si>
  <si>
    <t>年間保険料</t>
    <rPh sb="0" eb="2">
      <t>ネンカン</t>
    </rPh>
    <rPh sb="2" eb="5">
      <t>ホケンリョウ</t>
    </rPh>
    <phoneticPr fontId="2"/>
  </si>
  <si>
    <t>均等割</t>
    <rPh sb="0" eb="2">
      <t>キントウ</t>
    </rPh>
    <rPh sb="2" eb="3">
      <t>ワリ</t>
    </rPh>
    <phoneticPr fontId="2"/>
  </si>
  <si>
    <t>限度額</t>
    <rPh sb="0" eb="2">
      <t>ゲンド</t>
    </rPh>
    <rPh sb="2" eb="3">
      <t>ガク</t>
    </rPh>
    <phoneticPr fontId="2"/>
  </si>
  <si>
    <t>支援金</t>
    <rPh sb="0" eb="2">
      <t>シエン</t>
    </rPh>
    <rPh sb="2" eb="3">
      <t>キン</t>
    </rPh>
    <phoneticPr fontId="2"/>
  </si>
  <si>
    <t>7割軽減</t>
    <rPh sb="1" eb="2">
      <t>ワリ</t>
    </rPh>
    <rPh sb="2" eb="4">
      <t>ケイゲン</t>
    </rPh>
    <phoneticPr fontId="2"/>
  </si>
  <si>
    <t>5割軽減</t>
    <rPh sb="1" eb="2">
      <t>ワリ</t>
    </rPh>
    <rPh sb="2" eb="4">
      <t>ケイゲン</t>
    </rPh>
    <phoneticPr fontId="2"/>
  </si>
  <si>
    <t>2割軽減</t>
    <rPh sb="1" eb="2">
      <t>ワリ</t>
    </rPh>
    <rPh sb="2" eb="4">
      <t>ケイゲン</t>
    </rPh>
    <phoneticPr fontId="2"/>
  </si>
  <si>
    <t>【保険料率】</t>
    <rPh sb="1" eb="4">
      <t>ホケンリョウ</t>
    </rPh>
    <rPh sb="4" eb="5">
      <t>リツ</t>
    </rPh>
    <phoneticPr fontId="2"/>
  </si>
  <si>
    <t>介護判定</t>
    <rPh sb="0" eb="2">
      <t>カイゴ</t>
    </rPh>
    <rPh sb="2" eb="4">
      <t>ハンテイ</t>
    </rPh>
    <phoneticPr fontId="2"/>
  </si>
  <si>
    <t>年齢判定</t>
    <rPh sb="0" eb="2">
      <t>ネンレイ</t>
    </rPh>
    <rPh sb="2" eb="4">
      <t>ハンテイ</t>
    </rPh>
    <phoneticPr fontId="2"/>
  </si>
  <si>
    <t>円</t>
    <phoneticPr fontId="2"/>
  </si>
  <si>
    <t>基礎控除額</t>
    <rPh sb="0" eb="2">
      <t>キソ</t>
    </rPh>
    <rPh sb="2" eb="4">
      <t>コウジョ</t>
    </rPh>
    <rPh sb="4" eb="5">
      <t>ガク</t>
    </rPh>
    <phoneticPr fontId="2"/>
  </si>
  <si>
    <t>【減額判定表】</t>
    <rPh sb="1" eb="3">
      <t>ゲンガク</t>
    </rPh>
    <rPh sb="3" eb="5">
      <t>ハンテイ</t>
    </rPh>
    <rPh sb="5" eb="6">
      <t>ヒョウ</t>
    </rPh>
    <phoneticPr fontId="2"/>
  </si>
  <si>
    <t>【軽減基準】</t>
    <rPh sb="1" eb="3">
      <t>ケイゲン</t>
    </rPh>
    <rPh sb="3" eb="5">
      <t>キジュン</t>
    </rPh>
    <phoneticPr fontId="2"/>
  </si>
  <si>
    <t>区分</t>
    <rPh sb="0" eb="2">
      <t>クブン</t>
    </rPh>
    <phoneticPr fontId="2"/>
  </si>
  <si>
    <t>円</t>
  </si>
  <si>
    <t>介護分</t>
  </si>
  <si>
    <t>円</t>
    <phoneticPr fontId="2"/>
  </si>
  <si>
    <t>| |</t>
  </si>
  <si>
    <t>＋</t>
    <phoneticPr fontId="2"/>
  </si>
  <si>
    <t>（年間保険料／12か月）</t>
    <rPh sb="1" eb="3">
      <t>ネンカン</t>
    </rPh>
    <rPh sb="3" eb="6">
      <t>ホケンリョウ</t>
    </rPh>
    <rPh sb="10" eb="11">
      <t>ゲツ</t>
    </rPh>
    <phoneticPr fontId="2"/>
  </si>
  <si>
    <t>1か月あたりの保険料</t>
    <rPh sb="2" eb="3">
      <t>ゲツ</t>
    </rPh>
    <rPh sb="7" eb="10">
      <t>ホケンリョウ</t>
    </rPh>
    <phoneticPr fontId="2"/>
  </si>
  <si>
    <t>給与収入</t>
    <rPh sb="0" eb="2">
      <t>キュウヨ</t>
    </rPh>
    <rPh sb="2" eb="4">
      <t>シュウニュウ</t>
    </rPh>
    <phoneticPr fontId="2"/>
  </si>
  <si>
    <t>円</t>
    <rPh sb="0" eb="1">
      <t>エン</t>
    </rPh>
    <phoneticPr fontId="2"/>
  </si>
  <si>
    <t>年金収入</t>
    <rPh sb="0" eb="4">
      <t>ネンキンシュウニュウ</t>
    </rPh>
    <phoneticPr fontId="2"/>
  </si>
  <si>
    <t>その他所得</t>
    <rPh sb="2" eb="3">
      <t>タ</t>
    </rPh>
    <rPh sb="3" eb="5">
      <t>ショトク</t>
    </rPh>
    <phoneticPr fontId="2"/>
  </si>
  <si>
    <t>給与所得</t>
    <rPh sb="0" eb="4">
      <t>キュウヨショトク</t>
    </rPh>
    <phoneticPr fontId="2"/>
  </si>
  <si>
    <t>年金所得</t>
    <rPh sb="0" eb="2">
      <t>ネンキン</t>
    </rPh>
    <rPh sb="2" eb="4">
      <t>ショトク</t>
    </rPh>
    <phoneticPr fontId="2"/>
  </si>
  <si>
    <t>給与所得</t>
    <rPh sb="0" eb="4">
      <t>キュウヨショトク</t>
    </rPh>
    <phoneticPr fontId="2"/>
  </si>
  <si>
    <t>年金収入</t>
    <rPh sb="0" eb="2">
      <t>ネンキン</t>
    </rPh>
    <rPh sb="2" eb="4">
      <t>シュウニュウ</t>
    </rPh>
    <phoneticPr fontId="2"/>
  </si>
  <si>
    <t>年金所得</t>
    <rPh sb="0" eb="2">
      <t>ネンキン</t>
    </rPh>
    <rPh sb="2" eb="4">
      <t>ショトク</t>
    </rPh>
    <phoneticPr fontId="2"/>
  </si>
  <si>
    <t>65歳未満</t>
    <rPh sb="2" eb="5">
      <t>サイミマン</t>
    </rPh>
    <phoneticPr fontId="2"/>
  </si>
  <si>
    <t>65歳以上</t>
    <rPh sb="2" eb="5">
      <t>サイイジョウ</t>
    </rPh>
    <phoneticPr fontId="2"/>
  </si>
  <si>
    <t>給与所得者等の数</t>
    <rPh sb="0" eb="2">
      <t>キュウヨ</t>
    </rPh>
    <rPh sb="2" eb="4">
      <t>ショトク</t>
    </rPh>
    <rPh sb="4" eb="5">
      <t>シャ</t>
    </rPh>
    <rPh sb="5" eb="6">
      <t>トウ</t>
    </rPh>
    <rPh sb="7" eb="8">
      <t>カズ</t>
    </rPh>
    <phoneticPr fontId="2"/>
  </si>
  <si>
    <t>軽減判定用所得</t>
    <rPh sb="0" eb="2">
      <t>ケイゲン</t>
    </rPh>
    <rPh sb="2" eb="4">
      <t>ハンテイ</t>
    </rPh>
    <rPh sb="4" eb="5">
      <t>ヨウ</t>
    </rPh>
    <rPh sb="5" eb="7">
      <t>ショトク</t>
    </rPh>
    <phoneticPr fontId="2"/>
  </si>
  <si>
    <t>調整控除（参考）</t>
    <rPh sb="0" eb="2">
      <t>チョウセイ</t>
    </rPh>
    <rPh sb="2" eb="4">
      <t>コウジョ</t>
    </rPh>
    <rPh sb="5" eb="7">
      <t>サンコウ</t>
    </rPh>
    <phoneticPr fontId="2"/>
  </si>
  <si>
    <t>給与所得（調整控除後）</t>
    <rPh sb="0" eb="4">
      <t>キュウヨショトク</t>
    </rPh>
    <rPh sb="5" eb="10">
      <t>チョウセイコウジョゴ</t>
    </rPh>
    <phoneticPr fontId="2"/>
  </si>
  <si>
    <t>【非自発区分入力】</t>
    <rPh sb="1" eb="2">
      <t>ヒ</t>
    </rPh>
    <rPh sb="2" eb="4">
      <t>ジハツ</t>
    </rPh>
    <rPh sb="4" eb="6">
      <t>クブン</t>
    </rPh>
    <rPh sb="6" eb="8">
      <t>ニュウリョク</t>
    </rPh>
    <phoneticPr fontId="2"/>
  </si>
  <si>
    <t>【非自発区分判定】</t>
    <rPh sb="1" eb="2">
      <t>ヒ</t>
    </rPh>
    <rPh sb="2" eb="4">
      <t>ジハツ</t>
    </rPh>
    <rPh sb="4" eb="6">
      <t>クブン</t>
    </rPh>
    <rPh sb="6" eb="8">
      <t>ハンテイ</t>
    </rPh>
    <phoneticPr fontId="2"/>
  </si>
  <si>
    <t>【非自発考慮後給与】</t>
    <rPh sb="1" eb="2">
      <t>ヒ</t>
    </rPh>
    <rPh sb="2" eb="4">
      <t>ジハツ</t>
    </rPh>
    <rPh sb="4" eb="7">
      <t>コウリョゴ</t>
    </rPh>
    <rPh sb="7" eb="9">
      <t>キュウヨ</t>
    </rPh>
    <phoneticPr fontId="2"/>
  </si>
  <si>
    <t>加入する</t>
    <rPh sb="0" eb="2">
      <t>カニュウ</t>
    </rPh>
    <phoneticPr fontId="2"/>
  </si>
  <si>
    <t>７５歳以上</t>
    <rPh sb="2" eb="3">
      <t>サイ</t>
    </rPh>
    <rPh sb="3" eb="5">
      <t>イジョウ</t>
    </rPh>
    <phoneticPr fontId="2"/>
  </si>
  <si>
    <t>世帯主加入</t>
    <rPh sb="0" eb="5">
      <t>セタイヌシカニュウ</t>
    </rPh>
    <phoneticPr fontId="2"/>
  </si>
  <si>
    <t>【世帯主年齢】</t>
    <rPh sb="1" eb="4">
      <t>セタイヌシ</t>
    </rPh>
    <rPh sb="4" eb="6">
      <t>ネンレイ</t>
    </rPh>
    <phoneticPr fontId="2"/>
  </si>
  <si>
    <t>【年齢判定】</t>
    <rPh sb="1" eb="5">
      <t>ネンレイハンテイ</t>
    </rPh>
    <phoneticPr fontId="2"/>
  </si>
  <si>
    <t>世帯主の年齢判定、人数判定、介護判定、各種所得情報の設定は加入者と違うので注意</t>
    <rPh sb="0" eb="3">
      <t>セタイヌシ</t>
    </rPh>
    <rPh sb="4" eb="8">
      <t>ネンレイハンテイ</t>
    </rPh>
    <rPh sb="9" eb="11">
      <t>ニンズウハ</t>
    </rPh>
    <rPh sb="11" eb="13">
      <t>ンテイ</t>
    </rPh>
    <rPh sb="14" eb="18">
      <t>カイゴハンテイ</t>
    </rPh>
    <rPh sb="19" eb="25">
      <t>カクシュショトクジョウホウ</t>
    </rPh>
    <rPh sb="26" eb="28">
      <t>セッテイ</t>
    </rPh>
    <rPh sb="29" eb="32">
      <t>カニュウシャ</t>
    </rPh>
    <phoneticPr fontId="2"/>
  </si>
  <si>
    <t>年齢区分</t>
    <phoneticPr fontId="2"/>
  </si>
  <si>
    <t>小学生から中学生</t>
    <rPh sb="0" eb="3">
      <t>ショウガクセイ</t>
    </rPh>
    <rPh sb="5" eb="8">
      <t>チュウガクセイ</t>
    </rPh>
    <phoneticPr fontId="2"/>
  </si>
  <si>
    <t>４０歳から６４歳</t>
    <rPh sb="2" eb="3">
      <t>サイ</t>
    </rPh>
    <rPh sb="7" eb="8">
      <t>サイ</t>
    </rPh>
    <phoneticPr fontId="2"/>
  </si>
  <si>
    <t>６５歳から７４歳</t>
    <rPh sb="2" eb="3">
      <t>サイ</t>
    </rPh>
    <rPh sb="7" eb="8">
      <t>サイ</t>
    </rPh>
    <phoneticPr fontId="2"/>
  </si>
  <si>
    <t xml:space="preserve">   非自発的
   失業者</t>
    <rPh sb="3" eb="4">
      <t>ヒ</t>
    </rPh>
    <rPh sb="4" eb="7">
      <t>ジハツテキ</t>
    </rPh>
    <rPh sb="11" eb="14">
      <t>シツギョウシャ</t>
    </rPh>
    <phoneticPr fontId="2"/>
  </si>
  <si>
    <t>未就学児</t>
    <rPh sb="0" eb="1">
      <t>ミ</t>
    </rPh>
    <rPh sb="1" eb="3">
      <t>シュウガク</t>
    </rPh>
    <rPh sb="3" eb="4">
      <t>ジ</t>
    </rPh>
    <phoneticPr fontId="2"/>
  </si>
  <si>
    <t>| |</t>
    <phoneticPr fontId="2"/>
  </si>
  <si>
    <t>未就学児</t>
    <rPh sb="0" eb="4">
      <t>ミシュウガクジ</t>
    </rPh>
    <phoneticPr fontId="2"/>
  </si>
  <si>
    <t>基礎分</t>
    <rPh sb="0" eb="2">
      <t>キソ</t>
    </rPh>
    <rPh sb="2" eb="3">
      <t>ブン</t>
    </rPh>
    <phoneticPr fontId="2"/>
  </si>
  <si>
    <t>平等割</t>
    <rPh sb="0" eb="2">
      <t>ビョウドウ</t>
    </rPh>
    <rPh sb="2" eb="3">
      <t>ワリ</t>
    </rPh>
    <phoneticPr fontId="2"/>
  </si>
  <si>
    <t>基礎分</t>
    <phoneticPr fontId="2"/>
  </si>
  <si>
    <t>平等割</t>
    <phoneticPr fontId="2"/>
  </si>
  <si>
    <t>年金所得（軽減判定）</t>
    <rPh sb="0" eb="2">
      <t>ネンキン</t>
    </rPh>
    <rPh sb="2" eb="4">
      <t>ショトク</t>
    </rPh>
    <rPh sb="5" eb="9">
      <t>ケイゲンハンテイ</t>
    </rPh>
    <phoneticPr fontId="2"/>
  </si>
  <si>
    <t>調整控除（65以上軽減用）</t>
    <rPh sb="0" eb="2">
      <t>チョウセイ</t>
    </rPh>
    <rPh sb="2" eb="4">
      <t>コウジョ</t>
    </rPh>
    <rPh sb="7" eb="9">
      <t>イジョウ</t>
    </rPh>
    <rPh sb="9" eb="12">
      <t>ケイゲンヨウ</t>
    </rPh>
    <phoneticPr fontId="2"/>
  </si>
  <si>
    <t>給与所得（調整控除後）（65以上軽減用）</t>
    <phoneticPr fontId="2"/>
  </si>
  <si>
    <t>１９歳から３９歳</t>
    <rPh sb="2" eb="3">
      <t>サイ</t>
    </rPh>
    <rPh sb="7" eb="8">
      <t>サイ</t>
    </rPh>
    <phoneticPr fontId="2"/>
  </si>
  <si>
    <t>⑨未就学児軽減</t>
    <rPh sb="1" eb="7">
      <t>ミシュウガクジケイゲン</t>
    </rPh>
    <phoneticPr fontId="34"/>
  </si>
  <si>
    <t>軽減割合</t>
    <rPh sb="0" eb="4">
      <t>ケイゲンワリアイ</t>
    </rPh>
    <phoneticPr fontId="34"/>
  </si>
  <si>
    <t>⑥均等割</t>
    <rPh sb="1" eb="4">
      <t>キントウワ</t>
    </rPh>
    <phoneticPr fontId="34"/>
  </si>
  <si>
    <t>④均等割</t>
    <rPh sb="1" eb="4">
      <t>キントウワ</t>
    </rPh>
    <phoneticPr fontId="34"/>
  </si>
  <si>
    <t>⑤平等割</t>
    <rPh sb="1" eb="4">
      <t>ビョウドウワリ</t>
    </rPh>
    <phoneticPr fontId="34"/>
  </si>
  <si>
    <t>⑤均等割</t>
    <rPh sb="1" eb="4">
      <t>キントウワ</t>
    </rPh>
    <phoneticPr fontId="34"/>
  </si>
  <si>
    <t>⑦18歳以上均等割</t>
    <rPh sb="3" eb="9">
      <t>サイイジョウキントウワリ</t>
    </rPh>
    <phoneticPr fontId="34"/>
  </si>
  <si>
    <t>⑧未就学児軽減</t>
    <rPh sb="1" eb="7">
      <t>ミシュウガクジケイゲン</t>
    </rPh>
    <phoneticPr fontId="34"/>
  </si>
  <si>
    <t>⑨18歳未満均等割軽減</t>
    <rPh sb="3" eb="6">
      <t>サイミマン</t>
    </rPh>
    <rPh sb="6" eb="11">
      <t>キントウワリケイゲン</t>
    </rPh>
    <phoneticPr fontId="34"/>
  </si>
  <si>
    <t>世帯主</t>
    <rPh sb="0" eb="3">
      <t>セタイヌシ</t>
    </rPh>
    <phoneticPr fontId="36"/>
  </si>
  <si>
    <t>加入者１</t>
    <rPh sb="0" eb="3">
      <t>カニュウシャ</t>
    </rPh>
    <phoneticPr fontId="36"/>
  </si>
  <si>
    <t>加入者２</t>
    <rPh sb="0" eb="3">
      <t>カニュウシャ</t>
    </rPh>
    <phoneticPr fontId="36"/>
  </si>
  <si>
    <t>②均等割
（1人につき）</t>
    <rPh sb="1" eb="4">
      <t>キントウワ</t>
    </rPh>
    <rPh sb="7" eb="8">
      <t>ニン</t>
    </rPh>
    <phoneticPr fontId="34"/>
  </si>
  <si>
    <t>⑧平等割</t>
    <rPh sb="1" eb="4">
      <t>ビョウドウワリ</t>
    </rPh>
    <phoneticPr fontId="34"/>
  </si>
  <si>
    <t>子ども分</t>
    <rPh sb="0" eb="1">
      <t>コ</t>
    </rPh>
    <rPh sb="3" eb="4">
      <t>ブン</t>
    </rPh>
    <phoneticPr fontId="2"/>
  </si>
  <si>
    <t>加入者３</t>
    <rPh sb="0" eb="3">
      <t>カニュウシャ</t>
    </rPh>
    <phoneticPr fontId="36"/>
  </si>
  <si>
    <t>加入者４</t>
    <rPh sb="0" eb="3">
      <t>カニュウシャ</t>
    </rPh>
    <phoneticPr fontId="36"/>
  </si>
  <si>
    <t>加入者５</t>
    <rPh sb="0" eb="3">
      <t>カニュウシャ</t>
    </rPh>
    <phoneticPr fontId="36"/>
  </si>
  <si>
    <t>計</t>
    <rPh sb="0" eb="1">
      <t>ケイ</t>
    </rPh>
    <phoneticPr fontId="2"/>
  </si>
  <si>
    <t>⑥平等割</t>
    <rPh sb="1" eb="4">
      <t>ビョウドウワリ</t>
    </rPh>
    <phoneticPr fontId="34"/>
  </si>
  <si>
    <t>⑦未就学児軽減</t>
    <rPh sb="1" eb="7">
      <t>ミシュウガクジケイゲン</t>
    </rPh>
    <phoneticPr fontId="34"/>
  </si>
  <si>
    <t>⑨減額合計</t>
    <rPh sb="1" eb="3">
      <t>ゲンガク</t>
    </rPh>
    <rPh sb="3" eb="5">
      <t>ゴウケイ</t>
    </rPh>
    <phoneticPr fontId="2"/>
  </si>
  <si>
    <t>⑩減額後保険料
（④ー⑨）</t>
    <rPh sb="1" eb="4">
      <t>ゲンガクゴ</t>
    </rPh>
    <rPh sb="4" eb="7">
      <t>ホケンリョウ</t>
    </rPh>
    <phoneticPr fontId="34"/>
  </si>
  <si>
    <t>⑪限度超過額</t>
    <rPh sb="1" eb="6">
      <t>ゲンドチョウカガク</t>
    </rPh>
    <phoneticPr fontId="34"/>
  </si>
  <si>
    <t>保険料計算内訳</t>
    <rPh sb="0" eb="3">
      <t>ホケンリョウ</t>
    </rPh>
    <rPh sb="3" eb="5">
      <t>ケイサン</t>
    </rPh>
    <rPh sb="5" eb="7">
      <t>ウチワケ</t>
    </rPh>
    <phoneticPr fontId="2"/>
  </si>
  <si>
    <t>料率（B）</t>
    <rPh sb="0" eb="2">
      <t>リョウリツ</t>
    </rPh>
    <phoneticPr fontId="34"/>
  </si>
  <si>
    <t>②均等割</t>
    <rPh sb="1" eb="4">
      <t>キントウワ</t>
    </rPh>
    <phoneticPr fontId="34"/>
  </si>
  <si>
    <t>③平等割</t>
    <rPh sb="1" eb="4">
      <t>ビョウドウワリ</t>
    </rPh>
    <phoneticPr fontId="34"/>
  </si>
  <si>
    <t>１世帯につき</t>
    <rPh sb="1" eb="3">
      <t>セタイ</t>
    </rPh>
    <phoneticPr fontId="34"/>
  </si>
  <si>
    <t>１人につき</t>
    <rPh sb="1" eb="2">
      <t>ニン</t>
    </rPh>
    <phoneticPr fontId="34"/>
  </si>
  <si>
    <t>③18歳以上均等割</t>
    <rPh sb="3" eb="6">
      <t>サイイジョウ</t>
    </rPh>
    <rPh sb="6" eb="9">
      <t>キントウワ</t>
    </rPh>
    <phoneticPr fontId="34"/>
  </si>
  <si>
    <t>④平等割</t>
    <rPh sb="1" eb="4">
      <t>ビョウドウワリ</t>
    </rPh>
    <phoneticPr fontId="34"/>
  </si>
  <si>
    <t>1人につき</t>
    <rPh sb="1" eb="2">
      <t>ニン</t>
    </rPh>
    <phoneticPr fontId="34"/>
  </si>
  <si>
    <t>低所得者軽減
（７割or５割or２割）</t>
    <rPh sb="0" eb="4">
      <t>テイショトクシャ</t>
    </rPh>
    <rPh sb="4" eb="6">
      <t>ケイゲン</t>
    </rPh>
    <rPh sb="9" eb="10">
      <t>ワリ</t>
    </rPh>
    <rPh sb="13" eb="14">
      <t>ワリ</t>
    </rPh>
    <rPh sb="17" eb="18">
      <t>ワリ</t>
    </rPh>
    <phoneticPr fontId="34"/>
  </si>
  <si>
    <t>算定対象</t>
    <rPh sb="0" eb="4">
      <t>サンテイタイショウ</t>
    </rPh>
    <phoneticPr fontId="2"/>
  </si>
  <si>
    <t>④算出額
（①＋②＋③）</t>
    <rPh sb="1" eb="3">
      <t>サンシュツ</t>
    </rPh>
    <rPh sb="3" eb="4">
      <t>ガク</t>
    </rPh>
    <phoneticPr fontId="34"/>
  </si>
  <si>
    <t>賦課基準額（A)</t>
  </si>
  <si>
    <t>賦課基準額</t>
    <rPh sb="0" eb="5">
      <t>フカキジュンガク</t>
    </rPh>
    <phoneticPr fontId="2"/>
  </si>
  <si>
    <t>①所得割</t>
    <rPh sb="1" eb="4">
      <t>ショトクワリ</t>
    </rPh>
    <phoneticPr fontId="2"/>
  </si>
  <si>
    <t>加入人数判定</t>
    <rPh sb="0" eb="2">
      <t>カニュウ</t>
    </rPh>
    <rPh sb="2" eb="4">
      <t>ニンズウ</t>
    </rPh>
    <rPh sb="4" eb="6">
      <t>ハンテイ</t>
    </rPh>
    <phoneticPr fontId="2"/>
  </si>
  <si>
    <t>軽減非該当</t>
    <rPh sb="0" eb="2">
      <t>ケイゲン</t>
    </rPh>
    <rPh sb="2" eb="5">
      <t>ヒガイトウ</t>
    </rPh>
    <phoneticPr fontId="2"/>
  </si>
  <si>
    <t>計</t>
    <rPh sb="0" eb="1">
      <t>ケイ</t>
    </rPh>
    <phoneticPr fontId="2"/>
  </si>
  <si>
    <t>⑦減額合計</t>
    <rPh sb="1" eb="3">
      <t>ゲンガク</t>
    </rPh>
    <rPh sb="3" eb="5">
      <t>ゴウケイ</t>
    </rPh>
    <phoneticPr fontId="2"/>
  </si>
  <si>
    <t>18歳</t>
    <rPh sb="2" eb="3">
      <t>サイ</t>
    </rPh>
    <phoneticPr fontId="2"/>
  </si>
  <si>
    <t>⑤算出額
（①＋②＋③＋④）</t>
    <rPh sb="1" eb="3">
      <t>サンシュツ</t>
    </rPh>
    <rPh sb="3" eb="4">
      <t>ガク</t>
    </rPh>
    <phoneticPr fontId="34"/>
  </si>
  <si>
    <t>①基礎分</t>
    <rPh sb="1" eb="3">
      <t>キソ</t>
    </rPh>
    <rPh sb="3" eb="4">
      <t>ブン</t>
    </rPh>
    <phoneticPr fontId="2"/>
  </si>
  <si>
    <t>②支援分</t>
    <rPh sb="1" eb="3">
      <t>シエン</t>
    </rPh>
    <rPh sb="3" eb="4">
      <t>ブン</t>
    </rPh>
    <phoneticPr fontId="2"/>
  </si>
  <si>
    <t>④子ども分</t>
    <rPh sb="1" eb="2">
      <t>コ</t>
    </rPh>
    <rPh sb="4" eb="5">
      <t>ブン</t>
    </rPh>
    <phoneticPr fontId="2"/>
  </si>
  <si>
    <t>区分判定</t>
    <rPh sb="0" eb="2">
      <t>クブン</t>
    </rPh>
    <rPh sb="2" eb="4">
      <t>ハンテイ</t>
    </rPh>
    <phoneticPr fontId="2"/>
  </si>
  <si>
    <t>中学生以下～小学生</t>
    <rPh sb="0" eb="5">
      <t>チュウガクセイイカ</t>
    </rPh>
    <rPh sb="6" eb="9">
      <t>ショウガクセイ</t>
    </rPh>
    <phoneticPr fontId="34"/>
  </si>
  <si>
    <t>未就学</t>
    <rPh sb="0" eb="3">
      <t>ミシュウガク</t>
    </rPh>
    <phoneticPr fontId="34"/>
  </si>
  <si>
    <t>均等割
（軽減なし）</t>
    <rPh sb="0" eb="3">
      <t>キントウワ</t>
    </rPh>
    <rPh sb="5" eb="7">
      <t>ケイゲン</t>
    </rPh>
    <phoneticPr fontId="34"/>
  </si>
  <si>
    <t>均等割
（７減）</t>
    <rPh sb="0" eb="3">
      <t>キントウワ</t>
    </rPh>
    <rPh sb="6" eb="7">
      <t>ゲン</t>
    </rPh>
    <phoneticPr fontId="34"/>
  </si>
  <si>
    <t>均等割
（５減）</t>
    <rPh sb="0" eb="3">
      <t>キントウワ</t>
    </rPh>
    <rPh sb="6" eb="7">
      <t>ゲン</t>
    </rPh>
    <phoneticPr fontId="34"/>
  </si>
  <si>
    <t>均等割
（２減）</t>
    <rPh sb="0" eb="3">
      <t>キントウワ</t>
    </rPh>
    <rPh sb="6" eb="7">
      <t>ゲン</t>
    </rPh>
    <phoneticPr fontId="34"/>
  </si>
  <si>
    <t>未就学児軽減（軽減なし）</t>
    <rPh sb="0" eb="4">
      <t>ミシュウガクジ</t>
    </rPh>
    <rPh sb="4" eb="6">
      <t>ケイゲン</t>
    </rPh>
    <rPh sb="7" eb="9">
      <t>ケイゲン</t>
    </rPh>
    <phoneticPr fontId="34"/>
  </si>
  <si>
    <t>未就学児軽減（７減）</t>
    <rPh sb="0" eb="4">
      <t>ミシュウガクジ</t>
    </rPh>
    <rPh sb="4" eb="6">
      <t>ケイゲン</t>
    </rPh>
    <rPh sb="8" eb="9">
      <t>ゲン</t>
    </rPh>
    <phoneticPr fontId="34"/>
  </si>
  <si>
    <t>未就学児軽減（５減）</t>
    <rPh sb="0" eb="4">
      <t>ミシュウガクジ</t>
    </rPh>
    <rPh sb="4" eb="6">
      <t>ケイゲン</t>
    </rPh>
    <rPh sb="8" eb="9">
      <t>ゲン</t>
    </rPh>
    <phoneticPr fontId="34"/>
  </si>
  <si>
    <t>未就学児軽減（２減）</t>
    <rPh sb="0" eb="4">
      <t>ミシュウガクジ</t>
    </rPh>
    <rPh sb="4" eb="6">
      <t>ケイゲン</t>
    </rPh>
    <rPh sb="8" eb="9">
      <t>ゲン</t>
    </rPh>
    <phoneticPr fontId="34"/>
  </si>
  <si>
    <t>多子
（軽減なし）</t>
    <rPh sb="0" eb="2">
      <t>タシ</t>
    </rPh>
    <rPh sb="4" eb="6">
      <t>ケイゲン</t>
    </rPh>
    <phoneticPr fontId="34"/>
  </si>
  <si>
    <t>多子
（７減）</t>
    <rPh sb="0" eb="2">
      <t>タシ</t>
    </rPh>
    <rPh sb="5" eb="6">
      <t>ゲン</t>
    </rPh>
    <phoneticPr fontId="34"/>
  </si>
  <si>
    <t>多子
（５減）</t>
    <rPh sb="0" eb="2">
      <t>タシ</t>
    </rPh>
    <rPh sb="5" eb="6">
      <t>ゲン</t>
    </rPh>
    <phoneticPr fontId="34"/>
  </si>
  <si>
    <t>多子
（２減）</t>
    <rPh sb="0" eb="2">
      <t>タシ</t>
    </rPh>
    <rPh sb="5" eb="6">
      <t>ゲン</t>
    </rPh>
    <phoneticPr fontId="34"/>
  </si>
  <si>
    <t>基礎</t>
    <rPh sb="0" eb="2">
      <t>キソ</t>
    </rPh>
    <phoneticPr fontId="34"/>
  </si>
  <si>
    <t>支援</t>
    <rPh sb="0" eb="2">
      <t>シエン</t>
    </rPh>
    <phoneticPr fontId="34"/>
  </si>
  <si>
    <t>多子減免額（基礎分）</t>
    <rPh sb="0" eb="5">
      <t>タシゲンメンガク</t>
    </rPh>
    <rPh sb="6" eb="9">
      <t>キソブン</t>
    </rPh>
    <phoneticPr fontId="2"/>
  </si>
  <si>
    <t>多子減免額（支援分）</t>
    <rPh sb="0" eb="5">
      <t>タシゲンメンガク</t>
    </rPh>
    <rPh sb="6" eb="9">
      <t>シエンブン</t>
    </rPh>
    <phoneticPr fontId="2"/>
  </si>
  <si>
    <t>小学生から中学生の人数</t>
    <rPh sb="0" eb="3">
      <t>ショウガクセイ</t>
    </rPh>
    <rPh sb="5" eb="8">
      <t>チュウガクセイ</t>
    </rPh>
    <rPh sb="9" eb="11">
      <t>ニンズウ</t>
    </rPh>
    <phoneticPr fontId="2"/>
  </si>
  <si>
    <t>未就学児人数</t>
    <rPh sb="0" eb="4">
      <t>ミシュウガクジ</t>
    </rPh>
    <rPh sb="4" eb="6">
      <t>ニンズウ</t>
    </rPh>
    <phoneticPr fontId="2"/>
  </si>
  <si>
    <t>多子減免該当区分</t>
    <rPh sb="0" eb="4">
      <t>タシゲンメン</t>
    </rPh>
    <rPh sb="4" eb="6">
      <t>ガイトウ</t>
    </rPh>
    <rPh sb="6" eb="8">
      <t>クブン</t>
    </rPh>
    <phoneticPr fontId="2"/>
  </si>
  <si>
    <t>１８歳以上均等割→</t>
    <rPh sb="2" eb="3">
      <t>サイ</t>
    </rPh>
    <rPh sb="3" eb="5">
      <t>イジョウ</t>
    </rPh>
    <rPh sb="5" eb="8">
      <t>キントウワリ</t>
    </rPh>
    <phoneticPr fontId="2"/>
  </si>
  <si>
    <t>未就学児軽減
（軽減なし）</t>
    <rPh sb="0" eb="4">
      <t>ミシュウガクジ</t>
    </rPh>
    <rPh sb="4" eb="6">
      <t>ケイゲン</t>
    </rPh>
    <rPh sb="8" eb="10">
      <t>ケイゲン</t>
    </rPh>
    <phoneticPr fontId="34"/>
  </si>
  <si>
    <t>未就学児軽減
（７減）</t>
    <rPh sb="0" eb="4">
      <t>ミシュウガクジ</t>
    </rPh>
    <rPh sb="4" eb="6">
      <t>ケイゲン</t>
    </rPh>
    <rPh sb="9" eb="10">
      <t>ゲン</t>
    </rPh>
    <phoneticPr fontId="34"/>
  </si>
  <si>
    <t>未就学児軽減
（５減）</t>
    <rPh sb="0" eb="4">
      <t>ミシュウガクジ</t>
    </rPh>
    <rPh sb="4" eb="6">
      <t>ケイゲン</t>
    </rPh>
    <rPh sb="9" eb="10">
      <t>ゲン</t>
    </rPh>
    <phoneticPr fontId="34"/>
  </si>
  <si>
    <t>未就学児軽減
（２減）</t>
    <rPh sb="0" eb="4">
      <t>ミシュウガクジ</t>
    </rPh>
    <rPh sb="4" eb="6">
      <t>ケイゲン</t>
    </rPh>
    <rPh sb="9" eb="10">
      <t>ゲン</t>
    </rPh>
    <phoneticPr fontId="34"/>
  </si>
  <si>
    <t>中学生以下の子の人数</t>
    <rPh sb="0" eb="3">
      <t>チュウガクセイ</t>
    </rPh>
    <rPh sb="3" eb="5">
      <t>イカ</t>
    </rPh>
    <rPh sb="6" eb="7">
      <t>コ</t>
    </rPh>
    <rPh sb="8" eb="9">
      <t>ヒト</t>
    </rPh>
    <rPh sb="9" eb="10">
      <t>カズ</t>
    </rPh>
    <phoneticPr fontId="34"/>
  </si>
  <si>
    <t>中学生以下の子どもの人数</t>
    <rPh sb="0" eb="5">
      <t>チュウガクセイイカ</t>
    </rPh>
    <rPh sb="6" eb="7">
      <t>コ</t>
    </rPh>
    <rPh sb="10" eb="11">
      <t>ヒト</t>
    </rPh>
    <rPh sb="11" eb="12">
      <t>カズ</t>
    </rPh>
    <phoneticPr fontId="2"/>
  </si>
  <si>
    <t>【多子減免基準】</t>
    <rPh sb="1" eb="2">
      <t>オオ</t>
    </rPh>
    <rPh sb="2" eb="3">
      <t>コ</t>
    </rPh>
    <rPh sb="3" eb="5">
      <t>ゲンメン</t>
    </rPh>
    <rPh sb="5" eb="7">
      <t>キジュン</t>
    </rPh>
    <phoneticPr fontId="2"/>
  </si>
  <si>
    <t>【減額判定】</t>
    <rPh sb="1" eb="5">
      <t>ゲンガクハンテイ</t>
    </rPh>
    <phoneticPr fontId="2"/>
  </si>
  <si>
    <t>未就学児軽減</t>
    <rPh sb="0" eb="4">
      <t>ミシュウガクジ</t>
    </rPh>
    <rPh sb="4" eb="6">
      <t>ケイゲン</t>
    </rPh>
    <phoneticPr fontId="2"/>
  </si>
  <si>
    <t>多子世帯減免</t>
    <rPh sb="0" eb="2">
      <t>タシ</t>
    </rPh>
    <rPh sb="2" eb="4">
      <t>セタイ</t>
    </rPh>
    <rPh sb="4" eb="6">
      <t>ゲンメン</t>
    </rPh>
    <phoneticPr fontId="2"/>
  </si>
  <si>
    <t>非自発的失業者</t>
    <rPh sb="0" eb="1">
      <t>ヒ</t>
    </rPh>
    <rPh sb="1" eb="4">
      <t>ジハツテキ</t>
    </rPh>
    <rPh sb="4" eb="7">
      <t>シツギョウシャ</t>
    </rPh>
    <phoneticPr fontId="2"/>
  </si>
  <si>
    <t>非自発該当人数</t>
    <rPh sb="0" eb="3">
      <t>ヒジハツ</t>
    </rPh>
    <rPh sb="3" eb="7">
      <t>ガイトウニンズウ</t>
    </rPh>
    <phoneticPr fontId="2"/>
  </si>
  <si>
    <t>所得割額
（A×B）</t>
    <rPh sb="0" eb="4">
      <t>ショトクワリガク</t>
    </rPh>
    <phoneticPr fontId="34"/>
  </si>
  <si>
    <t>①＋②＋③＋④＝</t>
    <phoneticPr fontId="2"/>
  </si>
  <si>
    <t>低所得者軽減判定</t>
    <rPh sb="0" eb="4">
      <t>テイショトクシャ</t>
    </rPh>
    <rPh sb="4" eb="6">
      <t>ケイゲン</t>
    </rPh>
    <rPh sb="6" eb="8">
      <t>ハンテイ</t>
    </rPh>
    <phoneticPr fontId="2"/>
  </si>
  <si>
    <t>| |</t>
    <phoneticPr fontId="2"/>
  </si>
  <si>
    <t>保険料軽減額</t>
    <rPh sb="0" eb="3">
      <t>ホケンリョウ</t>
    </rPh>
    <rPh sb="3" eb="5">
      <t>ケイゲン</t>
    </rPh>
    <rPh sb="4" eb="6">
      <t>ゲンガク</t>
    </rPh>
    <phoneticPr fontId="2"/>
  </si>
  <si>
    <r>
      <t xml:space="preserve">合計額
</t>
    </r>
    <r>
      <rPr>
        <sz val="9"/>
        <rFont val="BIZ UDPゴシック"/>
        <family val="3"/>
        <charset val="128"/>
      </rPr>
      <t>※100円未満切り捨て</t>
    </r>
    <rPh sb="0" eb="2">
      <t>ゴウケイ</t>
    </rPh>
    <rPh sb="2" eb="3">
      <t>ガク</t>
    </rPh>
    <rPh sb="8" eb="12">
      <t>エンミマンキ</t>
    </rPh>
    <rPh sb="13" eb="14">
      <t>ス</t>
    </rPh>
    <phoneticPr fontId="2"/>
  </si>
  <si>
    <t>＜保険料減額措置＞</t>
    <rPh sb="1" eb="4">
      <t>ホケンリョウ</t>
    </rPh>
    <rPh sb="4" eb="6">
      <t>ゲンガク</t>
    </rPh>
    <rPh sb="6" eb="8">
      <t>ソチ</t>
    </rPh>
    <phoneticPr fontId="2"/>
  </si>
  <si>
    <t>③介護分(40歳から64歳までの方）</t>
    <rPh sb="1" eb="4">
      <t>カイゴブン</t>
    </rPh>
    <rPh sb="7" eb="8">
      <t>サイ</t>
    </rPh>
    <rPh sb="12" eb="13">
      <t>サイ</t>
    </rPh>
    <rPh sb="16" eb="17">
      <t>カタ</t>
    </rPh>
    <phoneticPr fontId="2"/>
  </si>
  <si>
    <t xml:space="preserve">| </t>
    <phoneticPr fontId="2"/>
  </si>
  <si>
    <t>未就学児
該当</t>
    <rPh sb="0" eb="4">
      <t>ミシュウガクジ</t>
    </rPh>
    <rPh sb="5" eb="7">
      <t>ガイトウ</t>
    </rPh>
    <phoneticPr fontId="36"/>
  </si>
  <si>
    <t>←多子減免額（基礎分）シートより</t>
    <phoneticPr fontId="2"/>
  </si>
  <si>
    <t>←多子減免額（支援分）シートより</t>
    <rPh sb="7" eb="9">
      <t>シエン</t>
    </rPh>
    <phoneticPr fontId="2"/>
  </si>
  <si>
    <t>⑧多子世帯減免</t>
    <rPh sb="1" eb="3">
      <t>タシ</t>
    </rPh>
    <rPh sb="3" eb="5">
      <t>セタイ</t>
    </rPh>
    <rPh sb="5" eb="7">
      <t>ゲンメン</t>
    </rPh>
    <phoneticPr fontId="34"/>
  </si>
  <si>
    <t>⑩多子世帯減免</t>
    <rPh sb="1" eb="3">
      <t>タシ</t>
    </rPh>
    <rPh sb="3" eb="5">
      <t>セタイ</t>
    </rPh>
    <rPh sb="5" eb="7">
      <t>ゲンメン</t>
    </rPh>
    <phoneticPr fontId="34"/>
  </si>
  <si>
    <t>端数調整→</t>
    <rPh sb="0" eb="4">
      <t>ハスウチョウセイ</t>
    </rPh>
    <phoneticPr fontId="2"/>
  </si>
  <si>
    <t>調整後減免額（基礎分）</t>
    <rPh sb="0" eb="3">
      <t>チョウセイゴ</t>
    </rPh>
    <rPh sb="3" eb="5">
      <t>ゲンメン</t>
    </rPh>
    <rPh sb="5" eb="6">
      <t>ガク</t>
    </rPh>
    <rPh sb="7" eb="10">
      <t>キソブン</t>
    </rPh>
    <phoneticPr fontId="2"/>
  </si>
  <si>
    <t>調整後減免額（支援分）</t>
    <rPh sb="0" eb="3">
      <t>チョウセイゴ</t>
    </rPh>
    <rPh sb="3" eb="5">
      <t>ゲンメン</t>
    </rPh>
    <rPh sb="5" eb="6">
      <t>ガク</t>
    </rPh>
    <rPh sb="7" eb="10">
      <t>シエンブン</t>
    </rPh>
    <phoneticPr fontId="2"/>
  </si>
  <si>
    <t>多子減免前</t>
    <rPh sb="0" eb="5">
      <t>タシゲンメンマエ</t>
    </rPh>
    <phoneticPr fontId="2"/>
  </si>
  <si>
    <t>基礎</t>
    <rPh sb="0" eb="2">
      <t>キソ</t>
    </rPh>
    <phoneticPr fontId="2"/>
  </si>
  <si>
    <t>支援</t>
    <rPh sb="0" eb="2">
      <t>シエン</t>
    </rPh>
    <phoneticPr fontId="2"/>
  </si>
  <si>
    <t>100円未満切り捨て</t>
    <rPh sb="3" eb="7">
      <t>エンミマンキ</t>
    </rPh>
    <rPh sb="8" eb="9">
      <t>ス</t>
    </rPh>
    <phoneticPr fontId="2"/>
  </si>
  <si>
    <t>多子減免後</t>
    <rPh sb="0" eb="5">
      <t>タシゲンメンゴ</t>
    </rPh>
    <phoneticPr fontId="2"/>
  </si>
  <si>
    <t>合計</t>
    <rPh sb="0" eb="2">
      <t>ゴウケイ</t>
    </rPh>
    <phoneticPr fontId="2"/>
  </si>
  <si>
    <t>・・・①</t>
    <phoneticPr fontId="2"/>
  </si>
  <si>
    <t>・・・②</t>
    <phoneticPr fontId="2"/>
  </si>
  <si>
    <t>多子減免額（①ー②）</t>
    <rPh sb="0" eb="5">
      <t>タシゲンメンガク</t>
    </rPh>
    <phoneticPr fontId="2"/>
  </si>
  <si>
    <t>按分後</t>
    <rPh sb="0" eb="3">
      <t>アンブンゴ</t>
    </rPh>
    <phoneticPr fontId="2"/>
  </si>
  <si>
    <t>給与収入</t>
    <rPh sb="0" eb="2">
      <t>キュウヨ</t>
    </rPh>
    <rPh sb="2" eb="4">
      <t>シュウニュウ</t>
    </rPh>
    <phoneticPr fontId="2"/>
  </si>
  <si>
    <t>↓</t>
    <phoneticPr fontId="2"/>
  </si>
  <si>
    <t>給与収入55万円超
または年金所得者</t>
    <rPh sb="0" eb="4">
      <t>キュウヨシュウニュウ</t>
    </rPh>
    <rPh sb="6" eb="8">
      <t>マンエン</t>
    </rPh>
    <rPh sb="8" eb="9">
      <t>チョウ</t>
    </rPh>
    <rPh sb="13" eb="17">
      <t>ネンキンショトク</t>
    </rPh>
    <rPh sb="17" eb="18">
      <t>シャ</t>
    </rPh>
    <phoneticPr fontId="2"/>
  </si>
  <si>
    <r>
      <t xml:space="preserve">基礎分
保険料
（⑩ー⑪）
</t>
    </r>
    <r>
      <rPr>
        <b/>
        <sz val="14"/>
        <color theme="1"/>
        <rFont val="BIZ UDPゴシック"/>
        <family val="3"/>
        <charset val="128"/>
      </rPr>
      <t>100円未満切り捨て</t>
    </r>
    <rPh sb="0" eb="3">
      <t>キソブン</t>
    </rPh>
    <rPh sb="4" eb="7">
      <t>ホケンリョウ</t>
    </rPh>
    <phoneticPr fontId="34"/>
  </si>
  <si>
    <r>
      <t xml:space="preserve">支援分
保険料
（⑩ー⑪）
</t>
    </r>
    <r>
      <rPr>
        <b/>
        <sz val="14"/>
        <color theme="1"/>
        <rFont val="BIZ UDPゴシック"/>
        <family val="3"/>
        <charset val="128"/>
      </rPr>
      <t>100円未満切り捨て</t>
    </r>
    <rPh sb="0" eb="3">
      <t>シエンブン</t>
    </rPh>
    <rPh sb="4" eb="7">
      <t>ホケンリョウ</t>
    </rPh>
    <phoneticPr fontId="34"/>
  </si>
  <si>
    <r>
      <t xml:space="preserve">介護分
保険料
（⑩ー⑪）
</t>
    </r>
    <r>
      <rPr>
        <b/>
        <sz val="14"/>
        <color theme="1"/>
        <rFont val="BIZ UDPゴシック"/>
        <family val="3"/>
        <charset val="128"/>
      </rPr>
      <t>100円未満切り捨て</t>
    </r>
    <rPh sb="0" eb="2">
      <t>カイゴ</t>
    </rPh>
    <rPh sb="2" eb="3">
      <t>ブン</t>
    </rPh>
    <rPh sb="4" eb="7">
      <t>ホケンリョウ</t>
    </rPh>
    <phoneticPr fontId="34"/>
  </si>
  <si>
    <r>
      <t xml:space="preserve">子ども分
保険料
（⑩ー⑪）
</t>
    </r>
    <r>
      <rPr>
        <b/>
        <sz val="14"/>
        <color theme="1"/>
        <rFont val="BIZ UDPゴシック"/>
        <family val="3"/>
        <charset val="128"/>
      </rPr>
      <t>100円未満切り捨て</t>
    </r>
    <rPh sb="0" eb="1">
      <t>コ</t>
    </rPh>
    <rPh sb="3" eb="4">
      <t>ブン</t>
    </rPh>
    <rPh sb="5" eb="8">
      <t>ホケンリョウ</t>
    </rPh>
    <phoneticPr fontId="34"/>
  </si>
  <si>
    <t>令和8年度 賦課限度額</t>
    <rPh sb="0" eb="2">
      <t>レイワ</t>
    </rPh>
    <rPh sb="3" eb="5">
      <t>ネンド</t>
    </rPh>
    <rPh sb="6" eb="8">
      <t>フカ</t>
    </rPh>
    <rPh sb="8" eb="10">
      <t>ゲンド</t>
    </rPh>
    <rPh sb="10" eb="11">
      <t>ガク</t>
    </rPh>
    <phoneticPr fontId="2"/>
  </si>
  <si>
    <t>１５歳から１８歳（高校生年代）</t>
    <rPh sb="2" eb="3">
      <t>サイ</t>
    </rPh>
    <rPh sb="7" eb="8">
      <t>サイ</t>
    </rPh>
    <phoneticPr fontId="2"/>
  </si>
  <si>
    <t>中学生
以下該当</t>
    <rPh sb="0" eb="3">
      <t>チュウガクセイ</t>
    </rPh>
    <rPh sb="4" eb="6">
      <t>イカ</t>
    </rPh>
    <rPh sb="6" eb="8">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</si>
</sst>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quot;年度&quot;"/>
    <numFmt numFmtId="177" formatCode="#,##0.0000_ ;[Red]\-#,##0.0000\ "/>
    <numFmt numFmtId="178" formatCode="#,##0_ "/>
    <numFmt numFmtId="179" formatCode="#,##0&quot;人&quot;"/>
    <numFmt numFmtId="180" formatCode="#,##0_);[Red]\(#,##0\)"/>
    <numFmt numFmtId="181" formatCode="#,##0_ ;[Red]\-#,##0\ "/>
    <numFmt numFmtId="182" formatCode="0.0;[Red]0.0"/>
    <numFmt numFmtId="183" formatCode="#,##0;[Red]#,##0"/>
    <numFmt numFmtId="184" formatCode="#,##0&quot;円&quot;"/>
    <numFmt numFmtId="185" formatCode="General&quot;割&quot;"/>
    <numFmt numFmtId="186" formatCode="0_);[Red]\(0\)"/>
    <numFmt numFmtId="187" formatCode="General&quot;人&quot;"/>
    <numFmt numFmtId="188" formatCode="General&quot;割減額&quot;"/>
  </numFmts>
  <fonts count="76">
    <font>
      <sz val="11"/>
      <name val="ＭＳ Ｐゴシック"/>
      <family val="3"/>
      <charset val="128"/>
    </font>
    <font>
      <sz val="11"/>
      <name val="ＭＳ Ｐゴシック"/>
      <family val="3"/>
      <charset val="128"/>
    </font>
    <font>
      <sz val="6"/>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Meiryo UI"/>
      <family val="3"/>
      <charset val="128"/>
    </font>
    <font>
      <sz val="11"/>
      <color indexed="22"/>
      <name val="Meiryo UI"/>
      <family val="3"/>
      <charset val="128"/>
    </font>
    <font>
      <b/>
      <sz val="11"/>
      <name val="Meiryo UI"/>
      <family val="3"/>
      <charset val="128"/>
    </font>
    <font>
      <sz val="11"/>
      <color indexed="10"/>
      <name val="Meiryo UI"/>
      <family val="3"/>
      <charset val="128"/>
    </font>
    <font>
      <b/>
      <sz val="11"/>
      <color indexed="62"/>
      <name val="Meiryo UI"/>
      <family val="3"/>
      <charset val="128"/>
    </font>
    <font>
      <b/>
      <sz val="16"/>
      <name val="Meiryo UI"/>
      <family val="3"/>
      <charset val="128"/>
    </font>
    <font>
      <sz val="11"/>
      <color indexed="8"/>
      <name val="Meiryo UI"/>
      <family val="3"/>
      <charset val="128"/>
    </font>
    <font>
      <sz val="9"/>
      <name val="Meiryo UI"/>
      <family val="3"/>
      <charset val="128"/>
    </font>
    <font>
      <sz val="10"/>
      <color indexed="10"/>
      <name val="Meiryo UI"/>
      <family val="3"/>
      <charset val="128"/>
    </font>
    <font>
      <b/>
      <sz val="12"/>
      <color indexed="10"/>
      <name val="Meiryo UI"/>
      <family val="3"/>
      <charset val="128"/>
    </font>
    <font>
      <sz val="11"/>
      <color rgb="FFFF0000"/>
      <name val="Meiryo UI"/>
      <family val="3"/>
      <charset val="128"/>
    </font>
    <font>
      <b/>
      <sz val="9"/>
      <color indexed="81"/>
      <name val="MS P ゴシック"/>
      <family val="3"/>
      <charset val="128"/>
    </font>
    <font>
      <sz val="11"/>
      <color theme="0"/>
      <name val="Meiryo UI"/>
      <family val="3"/>
      <charset val="128"/>
    </font>
    <font>
      <sz val="11"/>
      <color theme="1"/>
      <name val="Meiryo UI"/>
      <family val="2"/>
      <charset val="128"/>
    </font>
    <font>
      <sz val="6"/>
      <name val="ＭＳ Ｐゴシック"/>
      <family val="3"/>
      <charset val="128"/>
      <scheme val="minor"/>
    </font>
    <font>
      <sz val="11"/>
      <color theme="1"/>
      <name val="ＭＳ Ｐゴシック"/>
      <family val="2"/>
      <scheme val="minor"/>
    </font>
    <font>
      <sz val="6"/>
      <name val="ＭＳ Ｐゴシック"/>
      <family val="2"/>
      <charset val="128"/>
    </font>
    <font>
      <sz val="10"/>
      <color theme="1"/>
      <name val="Meiryo UI"/>
      <family val="3"/>
      <charset val="128"/>
    </font>
    <font>
      <sz val="8"/>
      <color theme="1"/>
      <name val="ＭＳ Ｐゴシック"/>
      <family val="3"/>
      <charset val="128"/>
      <scheme val="minor"/>
    </font>
    <font>
      <sz val="11"/>
      <color theme="1"/>
      <name val="Meiryo UI"/>
      <family val="3"/>
      <charset val="128"/>
    </font>
    <font>
      <sz val="8"/>
      <color theme="1"/>
      <name val="Meiryo UI"/>
      <family val="3"/>
      <charset val="128"/>
    </font>
    <font>
      <sz val="11"/>
      <color rgb="FFFF0000"/>
      <name val="ＭＳ Ｐゴシック"/>
      <family val="2"/>
      <scheme val="minor"/>
    </font>
    <font>
      <sz val="14"/>
      <name val="Meiryo UI"/>
      <family val="3"/>
      <charset val="128"/>
    </font>
    <font>
      <sz val="11"/>
      <name val="BIZ UDPゴシック"/>
      <family val="3"/>
      <charset val="128"/>
    </font>
    <font>
      <b/>
      <sz val="11"/>
      <name val="BIZ UDPゴシック"/>
      <family val="3"/>
      <charset val="128"/>
    </font>
    <font>
      <b/>
      <sz val="9"/>
      <name val="BIZ UDPゴシック"/>
      <family val="3"/>
      <charset val="128"/>
    </font>
    <font>
      <sz val="9"/>
      <name val="BIZ UDPゴシック"/>
      <family val="3"/>
      <charset val="128"/>
    </font>
    <font>
      <b/>
      <sz val="10.5"/>
      <name val="BIZ UDPゴシック"/>
      <family val="3"/>
      <charset val="128"/>
    </font>
    <font>
      <sz val="11"/>
      <color indexed="9"/>
      <name val="BIZ UDPゴシック"/>
      <family val="3"/>
      <charset val="128"/>
    </font>
    <font>
      <sz val="10"/>
      <name val="BIZ UDPゴシック"/>
      <family val="3"/>
      <charset val="128"/>
    </font>
    <font>
      <sz val="12"/>
      <name val="BIZ UDPゴシック"/>
      <family val="3"/>
      <charset val="128"/>
    </font>
    <font>
      <sz val="11"/>
      <color rgb="FFFF0000"/>
      <name val="BIZ UDPゴシック"/>
      <family val="3"/>
      <charset val="128"/>
    </font>
    <font>
      <sz val="11"/>
      <color indexed="23"/>
      <name val="BIZ UDPゴシック"/>
      <family val="3"/>
      <charset val="128"/>
    </font>
    <font>
      <b/>
      <sz val="11"/>
      <color indexed="23"/>
      <name val="BIZ UDPゴシック"/>
      <family val="3"/>
      <charset val="128"/>
    </font>
    <font>
      <b/>
      <sz val="8"/>
      <color indexed="23"/>
      <name val="BIZ UDPゴシック"/>
      <family val="3"/>
      <charset val="128"/>
    </font>
    <font>
      <b/>
      <sz val="12"/>
      <name val="BIZ UDPゴシック"/>
      <family val="3"/>
      <charset val="128"/>
    </font>
    <font>
      <sz val="8"/>
      <name val="BIZ UDPゴシック"/>
      <family val="3"/>
      <charset val="128"/>
    </font>
    <font>
      <b/>
      <sz val="14"/>
      <name val="BIZ UDPゴシック"/>
      <family val="3"/>
      <charset val="128"/>
    </font>
    <font>
      <b/>
      <sz val="11"/>
      <color indexed="10"/>
      <name val="BIZ UDPゴシック"/>
      <family val="3"/>
      <charset val="128"/>
    </font>
    <font>
      <sz val="11"/>
      <color indexed="10"/>
      <name val="BIZ UDPゴシック"/>
      <family val="3"/>
      <charset val="128"/>
    </font>
    <font>
      <sz val="10"/>
      <color indexed="23"/>
      <name val="BIZ UDPゴシック"/>
      <family val="3"/>
      <charset val="128"/>
    </font>
    <font>
      <b/>
      <sz val="16"/>
      <name val="BIZ UDPゴシック"/>
      <family val="3"/>
      <charset val="128"/>
    </font>
    <font>
      <sz val="10"/>
      <color theme="0" tint="-0.499984740745262"/>
      <name val="BIZ UDPゴシック"/>
      <family val="3"/>
      <charset val="128"/>
    </font>
    <font>
      <b/>
      <sz val="12"/>
      <color indexed="10"/>
      <name val="BIZ UDPゴシック"/>
      <family val="3"/>
      <charset val="128"/>
    </font>
    <font>
      <sz val="11"/>
      <color indexed="63"/>
      <name val="BIZ UDPゴシック"/>
      <family val="3"/>
      <charset val="128"/>
    </font>
    <font>
      <b/>
      <sz val="12"/>
      <color theme="1"/>
      <name val="BIZ UDPゴシック"/>
      <family val="3"/>
      <charset val="128"/>
    </font>
    <font>
      <b/>
      <sz val="16"/>
      <color theme="1"/>
      <name val="BIZ UDPゴシック"/>
      <family val="3"/>
      <charset val="128"/>
    </font>
    <font>
      <b/>
      <sz val="24"/>
      <color theme="1"/>
      <name val="BIZ UDPゴシック"/>
      <family val="3"/>
      <charset val="128"/>
    </font>
    <font>
      <sz val="16"/>
      <color theme="1"/>
      <name val="BIZ UDPゴシック"/>
      <family val="3"/>
      <charset val="128"/>
    </font>
    <font>
      <sz val="16"/>
      <color rgb="FFFF0000"/>
      <name val="BIZ UDPゴシック"/>
      <family val="3"/>
      <charset val="128"/>
    </font>
    <font>
      <sz val="16"/>
      <name val="BIZ UDPゴシック"/>
      <family val="3"/>
      <charset val="128"/>
    </font>
    <font>
      <sz val="10"/>
      <color theme="1"/>
      <name val="BIZ UDPゴシック"/>
      <family val="3"/>
      <charset val="128"/>
    </font>
    <font>
      <b/>
      <sz val="18"/>
      <name val="BIZ UDPゴシック"/>
      <family val="3"/>
      <charset val="128"/>
    </font>
    <font>
      <sz val="16"/>
      <color theme="0" tint="-0.249977111117893"/>
      <name val="BIZ UDPゴシック"/>
      <family val="3"/>
      <charset val="128"/>
    </font>
    <font>
      <b/>
      <sz val="14"/>
      <color theme="1"/>
      <name val="BIZ UDPゴシック"/>
      <family val="3"/>
      <charset val="128"/>
    </font>
    <font>
      <sz val="9"/>
      <color rgb="FFFF0000"/>
      <name val="BIZ UDPゴシック"/>
      <family val="3"/>
      <charset val="128"/>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1"/>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99CCFF"/>
        <bgColor indexed="64"/>
      </patternFill>
    </fill>
    <fill>
      <patternFill patternType="solid">
        <fgColor rgb="FFFF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55"/>
      </right>
      <top style="thin">
        <color indexed="55"/>
      </top>
      <bottom style="thin">
        <color indexed="55"/>
      </bottom>
      <diagonal/>
    </border>
    <border>
      <left/>
      <right style="thin">
        <color indexed="23"/>
      </right>
      <top style="thin">
        <color indexed="23"/>
      </top>
      <bottom style="thin">
        <color indexed="23"/>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top/>
      <bottom style="thick">
        <color indexed="64"/>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top/>
      <bottom style="medium">
        <color indexed="55"/>
      </bottom>
      <diagonal/>
    </border>
    <border>
      <left/>
      <right style="thin">
        <color indexed="9"/>
      </right>
      <top style="thin">
        <color indexed="55"/>
      </top>
      <bottom style="thin">
        <color indexed="55"/>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indexed="23"/>
      </top>
      <bottom/>
      <diagonal/>
    </border>
    <border>
      <left style="medium">
        <color indexed="55"/>
      </left>
      <right/>
      <top style="medium">
        <color indexed="55"/>
      </top>
      <bottom style="thin">
        <color indexed="55"/>
      </bottom>
      <diagonal/>
    </border>
    <border>
      <left/>
      <right/>
      <top style="medium">
        <color indexed="55"/>
      </top>
      <bottom style="thin">
        <color indexed="55"/>
      </bottom>
      <diagonal/>
    </border>
    <border>
      <left/>
      <right style="medium">
        <color indexed="55"/>
      </right>
      <top style="medium">
        <color indexed="55"/>
      </top>
      <bottom style="thin">
        <color indexed="55"/>
      </bottom>
      <diagonal/>
    </border>
    <border>
      <left/>
      <right/>
      <top style="thin">
        <color indexed="64"/>
      </top>
      <bottom/>
      <diagonal/>
    </border>
    <border>
      <left/>
      <right style="thin">
        <color indexed="64"/>
      </right>
      <top style="thin">
        <color indexed="64"/>
      </top>
      <bottom/>
      <diagonal/>
    </border>
    <border>
      <left/>
      <right/>
      <top style="thin">
        <color indexed="23"/>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style="thin">
        <color indexed="55"/>
      </top>
      <bottom style="thin">
        <color indexed="55"/>
      </bottom>
      <diagonal/>
    </border>
    <border>
      <left style="hair">
        <color indexed="55"/>
      </left>
      <right/>
      <top style="thin">
        <color indexed="55"/>
      </top>
      <bottom style="thin">
        <color indexed="55"/>
      </bottom>
      <diagonal/>
    </border>
    <border>
      <left/>
      <right style="hair">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style="medium">
        <color auto="1"/>
      </top>
      <bottom style="medium">
        <color auto="1"/>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auto="1"/>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right/>
      <top style="medium">
        <color auto="1"/>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medium">
        <color auto="1"/>
      </top>
      <bottom style="medium">
        <color auto="1"/>
      </bottom>
      <diagonal/>
    </border>
    <border>
      <left/>
      <right/>
      <top style="medium">
        <color auto="1"/>
      </top>
      <bottom style="medium">
        <color auto="1"/>
      </bottom>
      <diagonal/>
    </border>
  </borders>
  <cellStyleXfs count="49">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3" fillId="20" borderId="1" applyNumberFormat="0" applyAlignment="0" applyProtection="0">
      <alignment vertical="center"/>
    </xf>
    <xf numFmtId="0" fontId="7" fillId="21" borderId="0" applyNumberFormat="0" applyBorder="0" applyAlignment="0" applyProtection="0">
      <alignment vertical="center"/>
    </xf>
    <xf numFmtId="0" fontId="5"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5" fillId="0" borderId="0">
      <alignment vertical="center"/>
    </xf>
    <xf numFmtId="0" fontId="19" fillId="4" borderId="0" applyNumberFormat="0" applyBorder="0" applyAlignment="0" applyProtection="0">
      <alignment vertical="center"/>
    </xf>
    <xf numFmtId="0" fontId="33"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35" fillId="0" borderId="0"/>
  </cellStyleXfs>
  <cellXfs count="421">
    <xf numFmtId="0" fontId="0" fillId="0" borderId="0" xfId="0">
      <alignment vertical="center"/>
    </xf>
    <xf numFmtId="0" fontId="20" fillId="24" borderId="0" xfId="0" applyFont="1" applyFill="1">
      <alignment vertical="center"/>
    </xf>
    <xf numFmtId="0" fontId="21" fillId="24" borderId="0" xfId="0" applyFont="1" applyFill="1">
      <alignment vertical="center"/>
    </xf>
    <xf numFmtId="0" fontId="22" fillId="24" borderId="0" xfId="0" applyFont="1" applyFill="1" applyBorder="1" applyAlignment="1">
      <alignment vertical="center"/>
    </xf>
    <xf numFmtId="0" fontId="20" fillId="24" borderId="0" xfId="0" applyFont="1" applyFill="1" applyBorder="1">
      <alignment vertical="center"/>
    </xf>
    <xf numFmtId="0" fontId="20" fillId="24" borderId="0" xfId="0" applyFont="1" applyFill="1" applyBorder="1" applyAlignment="1">
      <alignment vertical="center"/>
    </xf>
    <xf numFmtId="0" fontId="24" fillId="24" borderId="0" xfId="0" applyFont="1" applyFill="1" applyAlignment="1">
      <alignment horizontal="right" vertical="center"/>
    </xf>
    <xf numFmtId="0" fontId="25" fillId="24" borderId="0" xfId="0" applyFont="1" applyFill="1" applyBorder="1" applyAlignment="1">
      <alignment vertical="center"/>
    </xf>
    <xf numFmtId="0" fontId="20" fillId="0" borderId="0" xfId="0" applyFont="1" applyBorder="1">
      <alignment vertical="center"/>
    </xf>
    <xf numFmtId="0" fontId="20" fillId="0" borderId="0" xfId="0" applyFont="1">
      <alignment vertical="center"/>
    </xf>
    <xf numFmtId="0" fontId="20" fillId="0" borderId="11" xfId="0" applyFont="1" applyBorder="1">
      <alignment vertical="center"/>
    </xf>
    <xf numFmtId="38" fontId="20" fillId="0" borderId="11" xfId="33" applyFont="1" applyBorder="1">
      <alignment vertical="center"/>
    </xf>
    <xf numFmtId="0" fontId="28" fillId="0" borderId="0" xfId="43" applyFont="1" applyBorder="1">
      <alignment vertical="center"/>
    </xf>
    <xf numFmtId="0" fontId="26" fillId="0" borderId="0" xfId="43" applyFont="1">
      <alignment vertical="center"/>
    </xf>
    <xf numFmtId="38" fontId="20" fillId="0" borderId="11" xfId="33" applyFont="1" applyBorder="1" applyAlignment="1">
      <alignment horizontal="center" vertical="center"/>
    </xf>
    <xf numFmtId="177" fontId="23" fillId="29" borderId="11" xfId="33" applyNumberFormat="1" applyFont="1" applyFill="1" applyBorder="1" applyAlignment="1">
      <alignment vertical="center"/>
    </xf>
    <xf numFmtId="38" fontId="23" fillId="29" borderId="11" xfId="33" applyFont="1" applyFill="1" applyBorder="1" applyAlignment="1">
      <alignment vertical="center"/>
    </xf>
    <xf numFmtId="177" fontId="23" fillId="26" borderId="11" xfId="33" applyNumberFormat="1" applyFont="1" applyFill="1" applyBorder="1" applyAlignment="1">
      <alignment vertical="center"/>
    </xf>
    <xf numFmtId="38" fontId="23" fillId="26" borderId="11" xfId="33" applyFont="1" applyFill="1" applyBorder="1" applyAlignment="1">
      <alignment vertical="center"/>
    </xf>
    <xf numFmtId="0" fontId="23" fillId="0" borderId="11" xfId="0" applyFont="1" applyBorder="1" applyAlignment="1">
      <alignment vertical="center"/>
    </xf>
    <xf numFmtId="177" fontId="23" fillId="28" borderId="11" xfId="33" applyNumberFormat="1" applyFont="1" applyFill="1" applyBorder="1" applyAlignment="1">
      <alignment vertical="center"/>
    </xf>
    <xf numFmtId="38" fontId="23" fillId="28" borderId="11" xfId="33" applyFont="1" applyFill="1" applyBorder="1" applyAlignment="1">
      <alignment vertical="center"/>
    </xf>
    <xf numFmtId="0" fontId="20" fillId="0" borderId="11" xfId="43" applyFont="1" applyBorder="1" applyAlignment="1">
      <alignment horizontal="right" vertical="center"/>
    </xf>
    <xf numFmtId="0" fontId="26" fillId="0" borderId="11" xfId="43" applyFont="1" applyBorder="1" applyAlignment="1">
      <alignment horizontal="right" vertical="center"/>
    </xf>
    <xf numFmtId="0" fontId="26" fillId="0" borderId="0" xfId="43" applyFont="1" applyAlignment="1"/>
    <xf numFmtId="179" fontId="20" fillId="0" borderId="11" xfId="42" applyNumberFormat="1" applyFont="1" applyFill="1" applyBorder="1" applyAlignment="1">
      <alignment horizontal="center" vertical="center"/>
    </xf>
    <xf numFmtId="38" fontId="23" fillId="0" borderId="11" xfId="33" applyFont="1" applyFill="1" applyBorder="1" applyAlignment="1">
      <alignment vertical="center"/>
    </xf>
    <xf numFmtId="38" fontId="20" fillId="0" borderId="11" xfId="33" applyFont="1" applyFill="1" applyBorder="1" applyAlignment="1">
      <alignment vertical="center"/>
    </xf>
    <xf numFmtId="178" fontId="26" fillId="0" borderId="11" xfId="43" applyNumberFormat="1" applyFont="1" applyBorder="1" applyAlignment="1">
      <alignment horizontal="center" vertical="center"/>
    </xf>
    <xf numFmtId="0" fontId="26" fillId="0" borderId="11" xfId="43" applyFont="1" applyBorder="1">
      <alignment vertical="center"/>
    </xf>
    <xf numFmtId="0" fontId="26" fillId="0" borderId="11" xfId="43" applyFont="1" applyBorder="1" applyAlignment="1">
      <alignment horizontal="center" vertical="center"/>
    </xf>
    <xf numFmtId="0" fontId="23" fillId="0" borderId="11" xfId="43" applyFont="1" applyBorder="1">
      <alignment vertical="center"/>
    </xf>
    <xf numFmtId="0" fontId="20" fillId="0" borderId="13" xfId="0" applyFont="1" applyBorder="1">
      <alignment vertical="center"/>
    </xf>
    <xf numFmtId="38" fontId="23" fillId="0" borderId="0" xfId="33" applyFont="1" applyFill="1" applyAlignment="1"/>
    <xf numFmtId="38" fontId="23" fillId="0" borderId="0" xfId="33" applyFont="1" applyAlignment="1"/>
    <xf numFmtId="38" fontId="26" fillId="0" borderId="11" xfId="33" applyFont="1" applyBorder="1">
      <alignment vertical="center"/>
    </xf>
    <xf numFmtId="38" fontId="30" fillId="0" borderId="11" xfId="33" applyFont="1" applyBorder="1" applyAlignment="1">
      <alignment vertical="center"/>
    </xf>
    <xf numFmtId="38" fontId="20" fillId="0" borderId="0" xfId="0" applyNumberFormat="1" applyFont="1" applyBorder="1">
      <alignment vertical="center"/>
    </xf>
    <xf numFmtId="38" fontId="20" fillId="0" borderId="0" xfId="33" applyFont="1" applyBorder="1">
      <alignment vertical="center"/>
    </xf>
    <xf numFmtId="38" fontId="26" fillId="0" borderId="0" xfId="33" applyFont="1" applyFill="1" applyBorder="1" applyAlignment="1">
      <alignment horizontal="right" vertical="center"/>
    </xf>
    <xf numFmtId="0" fontId="30" fillId="0" borderId="0" xfId="0" applyFont="1">
      <alignment vertical="center"/>
    </xf>
    <xf numFmtId="181" fontId="20" fillId="0" borderId="11" xfId="0" applyNumberFormat="1" applyFont="1" applyBorder="1">
      <alignment vertical="center"/>
    </xf>
    <xf numFmtId="181" fontId="26" fillId="31" borderId="11" xfId="33" applyNumberFormat="1" applyFont="1" applyFill="1" applyBorder="1" applyAlignment="1">
      <alignment horizontal="right" vertical="center"/>
    </xf>
    <xf numFmtId="181" fontId="20" fillId="0" borderId="11" xfId="33" applyNumberFormat="1" applyFont="1" applyBorder="1">
      <alignment vertical="center"/>
    </xf>
    <xf numFmtId="0" fontId="29" fillId="24" borderId="0" xfId="0" applyFont="1" applyFill="1">
      <alignment vertical="center"/>
    </xf>
    <xf numFmtId="0" fontId="20" fillId="32" borderId="11" xfId="0" applyFont="1" applyFill="1" applyBorder="1" applyAlignment="1">
      <alignment horizontal="center" vertical="center"/>
    </xf>
    <xf numFmtId="0" fontId="20" fillId="32" borderId="11" xfId="0" applyFont="1" applyFill="1" applyBorder="1">
      <alignment vertical="center"/>
    </xf>
    <xf numFmtId="0" fontId="20" fillId="32" borderId="11" xfId="42" applyFont="1" applyFill="1" applyBorder="1" applyAlignment="1">
      <alignment vertical="center"/>
    </xf>
    <xf numFmtId="0" fontId="20" fillId="32" borderId="11" xfId="42" applyFont="1" applyFill="1" applyBorder="1" applyAlignment="1">
      <alignment horizontal="center" vertical="center"/>
    </xf>
    <xf numFmtId="0" fontId="27" fillId="32" borderId="11" xfId="0" applyFont="1" applyFill="1" applyBorder="1">
      <alignment vertical="center"/>
    </xf>
    <xf numFmtId="176" fontId="26" fillId="32" borderId="10" xfId="43" applyNumberFormat="1" applyFont="1" applyFill="1" applyBorder="1" applyAlignment="1">
      <alignment horizontal="center" vertical="center" wrapText="1"/>
    </xf>
    <xf numFmtId="0" fontId="26" fillId="32" borderId="10" xfId="43" applyFont="1" applyFill="1" applyBorder="1" applyAlignment="1">
      <alignment horizontal="center" vertical="center" wrapText="1"/>
    </xf>
    <xf numFmtId="0" fontId="26" fillId="32" borderId="11" xfId="43" applyFont="1" applyFill="1" applyBorder="1" applyAlignment="1">
      <alignment horizontal="center" vertical="center" wrapText="1"/>
    </xf>
    <xf numFmtId="0" fontId="20" fillId="0" borderId="11" xfId="0" applyFont="1" applyFill="1" applyBorder="1">
      <alignment vertical="center"/>
    </xf>
    <xf numFmtId="0" fontId="20" fillId="0" borderId="0" xfId="0" applyFont="1" applyFill="1">
      <alignment vertical="center"/>
    </xf>
    <xf numFmtId="182" fontId="23" fillId="0" borderId="11" xfId="0" applyNumberFormat="1" applyFont="1" applyBorder="1">
      <alignment vertical="center"/>
    </xf>
    <xf numFmtId="182" fontId="23" fillId="0" borderId="11" xfId="33" applyNumberFormat="1" applyFont="1" applyFill="1" applyBorder="1" applyAlignment="1">
      <alignment vertical="center"/>
    </xf>
    <xf numFmtId="183" fontId="26" fillId="0" borderId="11" xfId="33" applyNumberFormat="1" applyFont="1" applyBorder="1" applyAlignment="1">
      <alignment horizontal="right" vertical="center"/>
    </xf>
    <xf numFmtId="183" fontId="26" fillId="0" borderId="11" xfId="43" applyNumberFormat="1" applyFont="1" applyBorder="1" applyAlignment="1">
      <alignment horizontal="right" vertical="center"/>
    </xf>
    <xf numFmtId="0" fontId="29" fillId="24" borderId="0" xfId="0" applyFont="1" applyFill="1" applyAlignment="1">
      <alignment vertical="center"/>
    </xf>
    <xf numFmtId="0" fontId="32" fillId="0" borderId="0" xfId="0" applyFont="1">
      <alignment vertical="center"/>
    </xf>
    <xf numFmtId="0" fontId="20" fillId="32" borderId="44" xfId="0" applyFont="1" applyFill="1" applyBorder="1" applyAlignment="1">
      <alignment horizontal="center" vertical="center"/>
    </xf>
    <xf numFmtId="181" fontId="26" fillId="31" borderId="44" xfId="33" applyNumberFormat="1" applyFont="1" applyFill="1" applyBorder="1" applyAlignment="1">
      <alignment horizontal="right" vertical="center"/>
    </xf>
    <xf numFmtId="181" fontId="20" fillId="0" borderId="44" xfId="0" applyNumberFormat="1" applyFont="1" applyBorder="1">
      <alignment vertical="center"/>
    </xf>
    <xf numFmtId="0" fontId="20" fillId="32" borderId="44" xfId="0" applyFont="1" applyFill="1" applyBorder="1" applyAlignment="1">
      <alignment vertical="center" wrapText="1"/>
    </xf>
    <xf numFmtId="0" fontId="20" fillId="32" borderId="11" xfId="0" applyFont="1" applyFill="1" applyBorder="1" applyAlignment="1">
      <alignment vertical="center" wrapText="1"/>
    </xf>
    <xf numFmtId="0" fontId="23" fillId="0" borderId="45" xfId="0" applyFont="1" applyBorder="1" applyAlignment="1">
      <alignment vertical="center"/>
    </xf>
    <xf numFmtId="0" fontId="20" fillId="0" borderId="46" xfId="0" applyFont="1" applyBorder="1">
      <alignment vertical="center"/>
    </xf>
    <xf numFmtId="181" fontId="20" fillId="0" borderId="0" xfId="0" applyNumberFormat="1" applyFont="1" applyBorder="1">
      <alignment vertical="center"/>
    </xf>
    <xf numFmtId="181" fontId="20" fillId="0" borderId="0" xfId="33" applyNumberFormat="1" applyFont="1" applyBorder="1">
      <alignment vertical="center"/>
    </xf>
    <xf numFmtId="181" fontId="20" fillId="0" borderId="46" xfId="0" applyNumberFormat="1" applyFont="1" applyBorder="1">
      <alignment vertical="center"/>
    </xf>
    <xf numFmtId="181" fontId="26" fillId="0" borderId="46" xfId="33" applyNumberFormat="1" applyFont="1" applyFill="1" applyBorder="1" applyAlignment="1">
      <alignment horizontal="right" vertical="center"/>
    </xf>
    <xf numFmtId="0" fontId="20" fillId="0" borderId="0" xfId="0" applyFont="1" applyFill="1" applyBorder="1" applyAlignment="1">
      <alignment horizontal="center" vertical="center"/>
    </xf>
    <xf numFmtId="0" fontId="20" fillId="0" borderId="44" xfId="0" applyFont="1" applyBorder="1" applyAlignment="1">
      <alignment horizontal="right" vertical="center"/>
    </xf>
    <xf numFmtId="0" fontId="20" fillId="0" borderId="44" xfId="0" applyFont="1" applyBorder="1">
      <alignment vertical="center"/>
    </xf>
    <xf numFmtId="183" fontId="26" fillId="0" borderId="0" xfId="43" applyNumberFormat="1" applyFont="1" applyFill="1" applyBorder="1" applyAlignment="1">
      <alignment horizontal="right" vertical="center"/>
    </xf>
    <xf numFmtId="0" fontId="28" fillId="0" borderId="53" xfId="43" applyFont="1" applyFill="1" applyBorder="1">
      <alignment vertical="center"/>
    </xf>
    <xf numFmtId="0" fontId="20" fillId="0" borderId="53" xfId="0" applyFont="1" applyBorder="1">
      <alignment vertical="center"/>
    </xf>
    <xf numFmtId="0" fontId="30" fillId="37" borderId="44" xfId="0" applyFont="1" applyFill="1" applyBorder="1">
      <alignment vertical="center"/>
    </xf>
    <xf numFmtId="183" fontId="26" fillId="0" borderId="44" xfId="43" applyNumberFormat="1" applyFont="1" applyFill="1" applyBorder="1" applyAlignment="1">
      <alignment horizontal="right" vertical="center"/>
    </xf>
    <xf numFmtId="183" fontId="26" fillId="0" borderId="11" xfId="33" applyNumberFormat="1" applyFont="1" applyFill="1" applyBorder="1" applyAlignment="1">
      <alignment horizontal="right" vertical="center"/>
    </xf>
    <xf numFmtId="183" fontId="26" fillId="0" borderId="44" xfId="33" applyNumberFormat="1" applyFont="1" applyFill="1" applyBorder="1" applyAlignment="1">
      <alignment horizontal="right" vertical="center"/>
    </xf>
    <xf numFmtId="186" fontId="20" fillId="0" borderId="11" xfId="0" applyNumberFormat="1" applyFont="1" applyBorder="1" applyAlignment="1">
      <alignment horizontal="right" vertical="center"/>
    </xf>
    <xf numFmtId="186" fontId="26" fillId="0" borderId="11" xfId="43" applyNumberFormat="1" applyFont="1" applyBorder="1" applyAlignment="1">
      <alignment horizontal="right" vertical="center"/>
    </xf>
    <xf numFmtId="0" fontId="38" fillId="0" borderId="44" xfId="48" applyFont="1" applyBorder="1" applyAlignment="1">
      <alignment horizontal="center" vertical="center" wrapText="1"/>
    </xf>
    <xf numFmtId="0" fontId="38" fillId="41" borderId="44" xfId="48" applyFont="1" applyFill="1" applyBorder="1" applyAlignment="1">
      <alignment horizontal="center" vertical="center" wrapText="1"/>
    </xf>
    <xf numFmtId="0" fontId="38" fillId="42" borderId="44" xfId="48" applyFont="1" applyFill="1" applyBorder="1" applyAlignment="1">
      <alignment horizontal="center" vertical="center" wrapText="1"/>
    </xf>
    <xf numFmtId="0" fontId="35" fillId="0" borderId="0" xfId="48"/>
    <xf numFmtId="0" fontId="35" fillId="0" borderId="44" xfId="48" applyBorder="1"/>
    <xf numFmtId="186" fontId="35" fillId="0" borderId="0" xfId="48" applyNumberFormat="1"/>
    <xf numFmtId="0" fontId="35" fillId="0" borderId="0" xfId="48" applyNumberFormat="1" applyAlignment="1">
      <alignment vertical="center"/>
    </xf>
    <xf numFmtId="0" fontId="20" fillId="32" borderId="44" xfId="0" applyFont="1" applyFill="1" applyBorder="1">
      <alignment vertical="center"/>
    </xf>
    <xf numFmtId="177" fontId="23" fillId="37" borderId="44" xfId="33" applyNumberFormat="1" applyFont="1" applyFill="1" applyBorder="1" applyAlignment="1">
      <alignment vertical="center"/>
    </xf>
    <xf numFmtId="38" fontId="23" fillId="37" borderId="44" xfId="33" applyFont="1" applyFill="1" applyBorder="1" applyAlignment="1">
      <alignment vertical="center"/>
    </xf>
    <xf numFmtId="0" fontId="23" fillId="0" borderId="44" xfId="0" applyFont="1" applyBorder="1" applyAlignment="1">
      <alignment vertical="center"/>
    </xf>
    <xf numFmtId="0" fontId="39" fillId="0" borderId="11" xfId="0" applyFont="1" applyFill="1" applyBorder="1">
      <alignment vertical="center"/>
    </xf>
    <xf numFmtId="0" fontId="39" fillId="0" borderId="35" xfId="0" applyFont="1" applyFill="1" applyBorder="1">
      <alignment vertical="center"/>
    </xf>
    <xf numFmtId="0" fontId="39" fillId="0" borderId="0" xfId="0" applyFont="1">
      <alignment vertical="center"/>
    </xf>
    <xf numFmtId="0" fontId="37" fillId="0" borderId="12" xfId="43" applyFont="1" applyBorder="1">
      <alignment vertical="center"/>
    </xf>
    <xf numFmtId="0" fontId="40" fillId="0" borderId="11" xfId="0" applyFont="1" applyBorder="1">
      <alignment vertical="center"/>
    </xf>
    <xf numFmtId="0" fontId="39" fillId="0" borderId="11" xfId="0" applyFont="1" applyBorder="1">
      <alignment vertical="center"/>
    </xf>
    <xf numFmtId="0" fontId="37" fillId="0" borderId="11" xfId="43" applyFont="1" applyFill="1" applyBorder="1">
      <alignment vertical="center"/>
    </xf>
    <xf numFmtId="0" fontId="40" fillId="0" borderId="32" xfId="0" applyFont="1" applyBorder="1">
      <alignment vertical="center"/>
    </xf>
    <xf numFmtId="0" fontId="39" fillId="0" borderId="33" xfId="0" applyFont="1" applyBorder="1">
      <alignment vertical="center"/>
    </xf>
    <xf numFmtId="0" fontId="37" fillId="0" borderId="35" xfId="43" applyFont="1" applyFill="1" applyBorder="1">
      <alignment vertical="center"/>
    </xf>
    <xf numFmtId="0" fontId="39" fillId="32" borderId="11" xfId="0" applyFont="1" applyFill="1" applyBorder="1" applyAlignment="1">
      <alignment horizontal="center" vertical="center"/>
    </xf>
    <xf numFmtId="0" fontId="39" fillId="0" borderId="11" xfId="43" applyFont="1" applyBorder="1" applyAlignment="1" applyProtection="1">
      <alignment horizontal="right" vertical="center"/>
      <protection locked="0"/>
    </xf>
    <xf numFmtId="0" fontId="39" fillId="0" borderId="11" xfId="43" applyFont="1" applyFill="1" applyBorder="1" applyAlignment="1">
      <alignment horizontal="right" vertical="center"/>
    </xf>
    <xf numFmtId="0" fontId="39" fillId="0" borderId="11" xfId="43" applyFont="1" applyBorder="1" applyAlignment="1">
      <alignment horizontal="right" vertical="center"/>
    </xf>
    <xf numFmtId="0" fontId="39" fillId="32" borderId="44" xfId="0" applyFont="1" applyFill="1" applyBorder="1" applyAlignment="1">
      <alignment horizontal="left" vertical="center"/>
    </xf>
    <xf numFmtId="0" fontId="39" fillId="32" borderId="44" xfId="0" applyFont="1" applyFill="1" applyBorder="1">
      <alignment vertical="center"/>
    </xf>
    <xf numFmtId="0" fontId="39" fillId="0" borderId="44" xfId="0" applyFont="1" applyBorder="1">
      <alignment vertical="center"/>
    </xf>
    <xf numFmtId="38" fontId="20" fillId="0" borderId="44" xfId="33" applyFont="1" applyBorder="1">
      <alignment vertical="center"/>
    </xf>
    <xf numFmtId="187" fontId="20" fillId="0" borderId="0" xfId="0" applyNumberFormat="1" applyFont="1">
      <alignment vertical="center"/>
    </xf>
    <xf numFmtId="187" fontId="39" fillId="0" borderId="44" xfId="0" applyNumberFormat="1" applyFont="1" applyBorder="1">
      <alignment vertical="center"/>
    </xf>
    <xf numFmtId="0" fontId="42" fillId="0" borderId="0" xfId="43" applyFont="1" applyFill="1" applyBorder="1">
      <alignment vertical="center"/>
    </xf>
    <xf numFmtId="38" fontId="35" fillId="41" borderId="44" xfId="33" applyFont="1" applyFill="1" applyBorder="1" applyAlignment="1"/>
    <xf numFmtId="38" fontId="35" fillId="0" borderId="0" xfId="33" applyFont="1" applyAlignment="1"/>
    <xf numFmtId="38" fontId="41" fillId="32" borderId="44" xfId="33" applyFont="1" applyFill="1" applyBorder="1" applyAlignment="1">
      <alignment horizontal="center"/>
    </xf>
    <xf numFmtId="38" fontId="41" fillId="32" borderId="44" xfId="33" applyFont="1" applyFill="1" applyBorder="1" applyAlignment="1"/>
    <xf numFmtId="38" fontId="41" fillId="32" borderId="44" xfId="33" applyFont="1" applyFill="1" applyBorder="1" applyAlignment="1">
      <alignment horizontal="center" vertical="center"/>
    </xf>
    <xf numFmtId="38" fontId="26" fillId="0" borderId="44" xfId="33" applyFont="1" applyFill="1" applyBorder="1" applyAlignment="1">
      <alignment horizontal="right" vertical="center"/>
    </xf>
    <xf numFmtId="0" fontId="43" fillId="24" borderId="0" xfId="0" applyFont="1" applyFill="1">
      <alignment vertical="center"/>
    </xf>
    <xf numFmtId="0" fontId="47" fillId="24" borderId="0" xfId="0" applyFont="1" applyFill="1" applyAlignment="1">
      <alignment horizontal="center" vertical="center" wrapText="1"/>
    </xf>
    <xf numFmtId="0" fontId="43" fillId="24" borderId="0" xfId="0" applyFont="1" applyFill="1" applyAlignment="1">
      <alignment horizontal="center" vertical="center"/>
    </xf>
    <xf numFmtId="0" fontId="44" fillId="24" borderId="0" xfId="0" applyFont="1" applyFill="1" applyBorder="1" applyAlignment="1">
      <alignment horizontal="center" vertical="center"/>
    </xf>
    <xf numFmtId="0" fontId="43" fillId="24" borderId="0" xfId="0" applyFont="1" applyFill="1" applyAlignment="1">
      <alignment vertical="center"/>
    </xf>
    <xf numFmtId="0" fontId="43" fillId="24" borderId="0" xfId="0" applyFont="1" applyFill="1" applyBorder="1">
      <alignment vertical="center"/>
    </xf>
    <xf numFmtId="0" fontId="49" fillId="24" borderId="0" xfId="0" applyFont="1" applyFill="1" applyBorder="1" applyAlignment="1">
      <alignment horizontal="center" vertical="center"/>
    </xf>
    <xf numFmtId="178" fontId="43" fillId="24" borderId="0" xfId="0" applyNumberFormat="1" applyFont="1" applyFill="1" applyBorder="1" applyAlignment="1" applyProtection="1">
      <alignment vertical="center"/>
    </xf>
    <xf numFmtId="178" fontId="50" fillId="0" borderId="0" xfId="0" applyNumberFormat="1" applyFont="1" applyFill="1" applyBorder="1" applyAlignment="1" applyProtection="1">
      <alignment vertical="center"/>
    </xf>
    <xf numFmtId="0" fontId="43" fillId="24" borderId="0" xfId="0" applyFont="1" applyFill="1" applyBorder="1" applyAlignment="1">
      <alignment vertical="top" wrapText="1"/>
    </xf>
    <xf numFmtId="0" fontId="49" fillId="24" borderId="0" xfId="0" applyFont="1" applyFill="1" applyBorder="1" applyAlignment="1">
      <alignment vertical="top"/>
    </xf>
    <xf numFmtId="0" fontId="44" fillId="24" borderId="0" xfId="0" applyFont="1" applyFill="1" applyBorder="1">
      <alignment vertical="center"/>
    </xf>
    <xf numFmtId="0" fontId="51" fillId="24" borderId="0" xfId="0" applyFont="1" applyFill="1" applyBorder="1">
      <alignment vertical="center"/>
    </xf>
    <xf numFmtId="0" fontId="43" fillId="24" borderId="0" xfId="0" applyFont="1" applyFill="1" applyBorder="1" applyAlignment="1">
      <alignment horizontal="right" vertical="center"/>
    </xf>
    <xf numFmtId="0" fontId="52" fillId="24" borderId="0" xfId="0" applyFont="1" applyFill="1">
      <alignment vertical="center"/>
    </xf>
    <xf numFmtId="0" fontId="53" fillId="24" borderId="0" xfId="0" applyFont="1" applyFill="1">
      <alignment vertical="center"/>
    </xf>
    <xf numFmtId="0" fontId="54" fillId="24" borderId="0" xfId="0" applyFont="1" applyFill="1">
      <alignment vertical="center"/>
    </xf>
    <xf numFmtId="0" fontId="52" fillId="24" borderId="0" xfId="0" applyFont="1" applyFill="1" applyBorder="1">
      <alignment vertical="center"/>
    </xf>
    <xf numFmtId="178" fontId="43" fillId="27" borderId="41" xfId="0" applyNumberFormat="1" applyFont="1" applyFill="1" applyBorder="1" applyAlignment="1">
      <alignment vertical="center"/>
    </xf>
    <xf numFmtId="178" fontId="43" fillId="26" borderId="43" xfId="0" applyNumberFormat="1" applyFont="1" applyFill="1" applyBorder="1" applyAlignment="1">
      <alignment vertical="center"/>
    </xf>
    <xf numFmtId="178" fontId="43" fillId="25" borderId="41" xfId="0" applyNumberFormat="1" applyFont="1" applyFill="1" applyBorder="1" applyAlignment="1">
      <alignment vertical="center"/>
    </xf>
    <xf numFmtId="178" fontId="43" fillId="37" borderId="14" xfId="0" applyNumberFormat="1" applyFont="1" applyFill="1" applyBorder="1" applyAlignment="1">
      <alignment vertical="center"/>
    </xf>
    <xf numFmtId="0" fontId="44" fillId="24" borderId="0" xfId="0" applyFont="1" applyFill="1">
      <alignment vertical="center"/>
    </xf>
    <xf numFmtId="178" fontId="43" fillId="33" borderId="43" xfId="0" applyNumberFormat="1" applyFont="1" applyFill="1" applyBorder="1" applyAlignment="1">
      <alignment vertical="center"/>
    </xf>
    <xf numFmtId="0" fontId="43" fillId="27" borderId="27" xfId="0" applyFont="1" applyFill="1" applyBorder="1" applyAlignment="1">
      <alignment vertical="center"/>
    </xf>
    <xf numFmtId="0" fontId="43" fillId="26" borderId="27" xfId="0" applyFont="1" applyFill="1" applyBorder="1" applyAlignment="1">
      <alignment vertical="center"/>
    </xf>
    <xf numFmtId="0" fontId="43" fillId="25" borderId="37" xfId="0" applyFont="1" applyFill="1" applyBorder="1" applyAlignment="1">
      <alignment vertical="center"/>
    </xf>
    <xf numFmtId="0" fontId="43" fillId="37" borderId="38" xfId="0" applyFont="1" applyFill="1" applyBorder="1" applyAlignment="1">
      <alignment vertical="center"/>
    </xf>
    <xf numFmtId="0" fontId="57" fillId="24" borderId="0" xfId="0" applyFont="1" applyFill="1" applyBorder="1" applyAlignment="1">
      <alignment vertical="center"/>
    </xf>
    <xf numFmtId="0" fontId="43" fillId="24" borderId="0" xfId="0" applyFont="1" applyFill="1" applyBorder="1" applyAlignment="1">
      <alignment vertical="center"/>
    </xf>
    <xf numFmtId="0" fontId="43" fillId="24" borderId="76" xfId="0" applyFont="1" applyFill="1" applyBorder="1" applyAlignment="1">
      <alignment vertical="center"/>
    </xf>
    <xf numFmtId="0" fontId="58" fillId="24" borderId="0" xfId="0" applyFont="1" applyFill="1" applyAlignment="1">
      <alignment vertical="center"/>
    </xf>
    <xf numFmtId="0" fontId="59" fillId="24" borderId="0" xfId="0" applyFont="1" applyFill="1" applyAlignment="1">
      <alignment vertical="center"/>
    </xf>
    <xf numFmtId="0" fontId="55" fillId="24" borderId="0" xfId="0" applyFont="1" applyFill="1" applyBorder="1" applyAlignment="1">
      <alignment horizontal="left"/>
    </xf>
    <xf numFmtId="0" fontId="60" fillId="24" borderId="0" xfId="0" applyFont="1" applyFill="1" applyAlignment="1">
      <alignment horizontal="right" vertical="center"/>
    </xf>
    <xf numFmtId="180" fontId="50" fillId="24" borderId="0" xfId="0" applyNumberFormat="1" applyFont="1" applyFill="1" applyBorder="1" applyAlignment="1">
      <alignment vertical="center"/>
    </xf>
    <xf numFmtId="0" fontId="49" fillId="24" borderId="0" xfId="0" applyFont="1" applyFill="1" applyBorder="1" applyAlignment="1">
      <alignment vertical="center"/>
    </xf>
    <xf numFmtId="0" fontId="43" fillId="0" borderId="0" xfId="0" applyFont="1" applyFill="1" applyBorder="1">
      <alignment vertical="center"/>
    </xf>
    <xf numFmtId="0" fontId="56" fillId="0" borderId="0" xfId="0" applyFont="1" applyFill="1" applyBorder="1" applyAlignment="1">
      <alignment vertical="center"/>
    </xf>
    <xf numFmtId="0" fontId="49" fillId="24" borderId="15" xfId="0" applyFont="1" applyFill="1" applyBorder="1" applyAlignment="1">
      <alignment vertical="center"/>
    </xf>
    <xf numFmtId="187" fontId="43" fillId="0" borderId="0" xfId="0" applyNumberFormat="1" applyFont="1" applyFill="1" applyBorder="1" applyAlignment="1">
      <alignment horizontal="right" vertical="center"/>
    </xf>
    <xf numFmtId="0" fontId="55" fillId="24" borderId="0" xfId="0" applyFont="1" applyFill="1" applyBorder="1" applyAlignment="1">
      <alignment horizontal="center"/>
    </xf>
    <xf numFmtId="0" fontId="62" fillId="24" borderId="28" xfId="0" applyFont="1" applyFill="1" applyBorder="1" applyAlignment="1">
      <alignment vertical="top"/>
    </xf>
    <xf numFmtId="0" fontId="62" fillId="24" borderId="34" xfId="0" applyFont="1" applyFill="1" applyBorder="1" applyAlignment="1">
      <alignment vertical="top"/>
    </xf>
    <xf numFmtId="0" fontId="43" fillId="0" borderId="28" xfId="0" applyFont="1" applyBorder="1" applyAlignment="1">
      <alignment vertical="center"/>
    </xf>
    <xf numFmtId="0" fontId="63" fillId="24" borderId="0" xfId="0" applyFont="1" applyFill="1">
      <alignment vertical="center"/>
    </xf>
    <xf numFmtId="0" fontId="44" fillId="0" borderId="0" xfId="0" applyFont="1" applyFill="1" applyBorder="1" applyAlignment="1">
      <alignment vertical="center"/>
    </xf>
    <xf numFmtId="178" fontId="55" fillId="0" borderId="0" xfId="0" applyNumberFormat="1" applyFont="1" applyFill="1" applyBorder="1" applyAlignment="1">
      <alignment vertical="center"/>
    </xf>
    <xf numFmtId="178" fontId="57" fillId="24" borderId="0" xfId="0" applyNumberFormat="1" applyFont="1" applyFill="1" applyBorder="1" applyAlignment="1">
      <alignment vertical="center"/>
    </xf>
    <xf numFmtId="0" fontId="44" fillId="24" borderId="0" xfId="0" applyFont="1" applyFill="1" applyAlignment="1">
      <alignment horizontal="right" vertical="center"/>
    </xf>
    <xf numFmtId="0" fontId="43" fillId="27" borderId="37" xfId="0" applyFont="1" applyFill="1" applyBorder="1">
      <alignment vertical="center"/>
    </xf>
    <xf numFmtId="0" fontId="43" fillId="26" borderId="40" xfId="0" applyFont="1" applyFill="1" applyBorder="1">
      <alignment vertical="center"/>
    </xf>
    <xf numFmtId="0" fontId="43" fillId="25" borderId="37" xfId="0" applyFont="1" applyFill="1" applyBorder="1">
      <alignment vertical="center"/>
    </xf>
    <xf numFmtId="0" fontId="43" fillId="37" borderId="38" xfId="0" applyFont="1" applyFill="1" applyBorder="1">
      <alignment vertical="center"/>
    </xf>
    <xf numFmtId="0" fontId="64" fillId="0" borderId="0" xfId="0" applyFont="1" applyFill="1" applyBorder="1">
      <alignment vertical="center"/>
    </xf>
    <xf numFmtId="0" fontId="58" fillId="0" borderId="0" xfId="0" applyFont="1" applyFill="1" applyBorder="1">
      <alignment vertical="center"/>
    </xf>
    <xf numFmtId="0" fontId="59" fillId="0" borderId="0" xfId="0" applyFont="1" applyFill="1" applyBorder="1">
      <alignment vertical="center"/>
    </xf>
    <xf numFmtId="0" fontId="62" fillId="24" borderId="0" xfId="0" applyFont="1" applyFill="1" applyBorder="1" applyAlignment="1">
      <alignment vertical="top"/>
    </xf>
    <xf numFmtId="0" fontId="43" fillId="0" borderId="0" xfId="0" applyFont="1" applyBorder="1" applyAlignment="1">
      <alignment vertical="center"/>
    </xf>
    <xf numFmtId="0" fontId="65" fillId="24" borderId="0" xfId="0" applyFont="1" applyFill="1">
      <alignment vertical="center"/>
    </xf>
    <xf numFmtId="0" fontId="65" fillId="24" borderId="0" xfId="0" applyFont="1" applyFill="1" applyBorder="1">
      <alignment vertical="center"/>
    </xf>
    <xf numFmtId="0" fontId="65" fillId="24" borderId="0" xfId="0" applyFont="1" applyFill="1" applyBorder="1" applyAlignment="1"/>
    <xf numFmtId="0" fontId="67" fillId="0" borderId="0" xfId="48" applyFont="1" applyAlignment="1">
      <alignment vertical="center"/>
    </xf>
    <xf numFmtId="0" fontId="68" fillId="0" borderId="0" xfId="48" applyFont="1"/>
    <xf numFmtId="0" fontId="61" fillId="0" borderId="73" xfId="0" applyFont="1" applyFill="1" applyBorder="1" applyAlignment="1">
      <alignment vertical="center"/>
    </xf>
    <xf numFmtId="0" fontId="66" fillId="0" borderId="0" xfId="48" applyFont="1"/>
    <xf numFmtId="0" fontId="69" fillId="0" borderId="0" xfId="48" applyFont="1"/>
    <xf numFmtId="184" fontId="69" fillId="0" borderId="0" xfId="48" applyNumberFormat="1" applyFont="1" applyAlignment="1">
      <alignment horizontal="left"/>
    </xf>
    <xf numFmtId="0" fontId="68" fillId="36" borderId="47" xfId="48" applyFont="1" applyFill="1" applyBorder="1" applyAlignment="1">
      <alignment horizontal="center" vertical="center" wrapText="1"/>
    </xf>
    <xf numFmtId="0" fontId="68" fillId="38" borderId="44" xfId="45" applyFont="1" applyFill="1" applyBorder="1" applyAlignment="1">
      <alignment horizontal="center" vertical="center"/>
    </xf>
    <xf numFmtId="0" fontId="68" fillId="36" borderId="54" xfId="48" applyFont="1" applyFill="1" applyBorder="1" applyAlignment="1">
      <alignment horizontal="center" vertical="center" wrapText="1"/>
    </xf>
    <xf numFmtId="0" fontId="68" fillId="36" borderId="44" xfId="48" applyFont="1" applyFill="1" applyBorder="1" applyAlignment="1">
      <alignment horizontal="center" vertical="center" wrapText="1"/>
    </xf>
    <xf numFmtId="0" fontId="68" fillId="34" borderId="54" xfId="48" applyFont="1" applyFill="1" applyBorder="1" applyAlignment="1">
      <alignment horizontal="center" vertical="center" wrapText="1"/>
    </xf>
    <xf numFmtId="0" fontId="68" fillId="34" borderId="44" xfId="48" applyFont="1" applyFill="1" applyBorder="1" applyAlignment="1">
      <alignment horizontal="center" vertical="center" wrapText="1"/>
    </xf>
    <xf numFmtId="0" fontId="68" fillId="35" borderId="44" xfId="45" applyFont="1" applyFill="1" applyBorder="1">
      <alignment vertical="center"/>
    </xf>
    <xf numFmtId="0" fontId="68" fillId="35" borderId="44" xfId="45" applyFont="1" applyFill="1" applyBorder="1" applyAlignment="1">
      <alignment horizontal="center" vertical="center"/>
    </xf>
    <xf numFmtId="0" fontId="68" fillId="33" borderId="44" xfId="45" applyFont="1" applyFill="1" applyBorder="1" applyAlignment="1">
      <alignment horizontal="center" vertical="center"/>
    </xf>
    <xf numFmtId="178" fontId="70" fillId="0" borderId="73" xfId="0" applyNumberFormat="1" applyFont="1" applyBorder="1" applyAlignment="1">
      <alignment vertical="center"/>
    </xf>
    <xf numFmtId="0" fontId="68" fillId="39" borderId="44" xfId="45" applyFont="1" applyFill="1" applyBorder="1" applyAlignment="1">
      <alignment horizontal="center" vertical="center"/>
    </xf>
    <xf numFmtId="0" fontId="68" fillId="39" borderId="74" xfId="45" applyFont="1" applyFill="1" applyBorder="1" applyAlignment="1">
      <alignment horizontal="center" vertical="center"/>
    </xf>
    <xf numFmtId="0" fontId="68" fillId="0" borderId="0" xfId="48" applyFont="1" applyBorder="1"/>
    <xf numFmtId="0" fontId="68" fillId="37" borderId="44" xfId="45" applyFont="1" applyFill="1" applyBorder="1" applyAlignment="1">
      <alignment horizontal="center" vertical="center"/>
    </xf>
    <xf numFmtId="0" fontId="68" fillId="35" borderId="47" xfId="45" applyFont="1" applyFill="1" applyBorder="1" applyAlignment="1">
      <alignment horizontal="center" vertical="center"/>
    </xf>
    <xf numFmtId="0" fontId="71" fillId="0" borderId="0" xfId="48" applyFont="1"/>
    <xf numFmtId="0" fontId="68" fillId="39" borderId="44" xfId="45" applyFont="1" applyFill="1" applyBorder="1" applyAlignment="1">
      <alignment horizontal="center" vertical="center" wrapText="1"/>
    </xf>
    <xf numFmtId="49" fontId="35" fillId="43" borderId="0" xfId="48" applyNumberFormat="1" applyFill="1"/>
    <xf numFmtId="0" fontId="35" fillId="43" borderId="44" xfId="48" applyFill="1" applyBorder="1" applyAlignment="1">
      <alignment horizontal="center"/>
    </xf>
    <xf numFmtId="38" fontId="35" fillId="43" borderId="44" xfId="33" applyFont="1" applyFill="1" applyBorder="1" applyAlignment="1"/>
    <xf numFmtId="49" fontId="35" fillId="44" borderId="0" xfId="48" applyNumberFormat="1" applyFill="1"/>
    <xf numFmtId="0" fontId="35" fillId="44" borderId="44" xfId="48" applyFill="1" applyBorder="1" applyAlignment="1">
      <alignment horizontal="center"/>
    </xf>
    <xf numFmtId="38" fontId="35" fillId="44" borderId="44" xfId="33" applyFont="1" applyFill="1" applyBorder="1" applyAlignment="1"/>
    <xf numFmtId="49" fontId="35" fillId="45" borderId="0" xfId="48" applyNumberFormat="1" applyFill="1"/>
    <xf numFmtId="0" fontId="35" fillId="45" borderId="44" xfId="48" applyFill="1" applyBorder="1" applyAlignment="1">
      <alignment horizontal="center"/>
    </xf>
    <xf numFmtId="38" fontId="35" fillId="45" borderId="44" xfId="33" applyFont="1" applyFill="1" applyBorder="1" applyAlignment="1"/>
    <xf numFmtId="49" fontId="35" fillId="46" borderId="0" xfId="48" applyNumberFormat="1" applyFill="1"/>
    <xf numFmtId="0" fontId="35" fillId="46" borderId="44" xfId="48" applyFill="1" applyBorder="1" applyAlignment="1">
      <alignment horizontal="center"/>
    </xf>
    <xf numFmtId="38" fontId="35" fillId="46" borderId="44" xfId="33" applyFont="1" applyFill="1" applyBorder="1" applyAlignment="1"/>
    <xf numFmtId="38" fontId="30" fillId="0" borderId="11" xfId="33" applyFont="1" applyBorder="1">
      <alignment vertical="center"/>
    </xf>
    <xf numFmtId="0" fontId="68" fillId="38" borderId="44" xfId="45" applyFont="1" applyFill="1" applyBorder="1" applyAlignment="1">
      <alignment horizontal="center" vertical="center" wrapText="1"/>
    </xf>
    <xf numFmtId="0" fontId="68" fillId="33" borderId="44" xfId="45" applyFont="1" applyFill="1" applyBorder="1" applyAlignment="1">
      <alignment horizontal="center" vertical="center" wrapText="1"/>
    </xf>
    <xf numFmtId="0" fontId="68" fillId="37" borderId="44" xfId="45" applyFont="1" applyFill="1" applyBorder="1" applyAlignment="1">
      <alignment horizontal="center" vertical="center" wrapText="1"/>
    </xf>
    <xf numFmtId="38" fontId="69" fillId="0" borderId="0" xfId="46" applyFont="1" applyBorder="1" applyAlignment="1">
      <alignment horizontal="center" vertical="center" wrapText="1"/>
    </xf>
    <xf numFmtId="0" fontId="69" fillId="35" borderId="0" xfId="45" applyFont="1" applyFill="1" applyBorder="1">
      <alignment vertical="center"/>
    </xf>
    <xf numFmtId="0" fontId="69" fillId="35" borderId="0" xfId="45" applyFont="1" applyFill="1" applyBorder="1" applyAlignment="1">
      <alignment horizontal="center" vertical="center"/>
    </xf>
    <xf numFmtId="10" fontId="69" fillId="0" borderId="0" xfId="47" applyNumberFormat="1" applyFont="1" applyBorder="1" applyAlignment="1">
      <alignment horizontal="center" vertical="center" wrapText="1"/>
    </xf>
    <xf numFmtId="0" fontId="69" fillId="0" borderId="0" xfId="48" applyFont="1" applyBorder="1" applyAlignment="1">
      <alignment horizontal="center" vertical="center" wrapText="1"/>
    </xf>
    <xf numFmtId="38" fontId="69" fillId="0" borderId="0" xfId="48" applyNumberFormat="1" applyFont="1" applyBorder="1" applyAlignment="1">
      <alignment horizontal="center" vertical="center" wrapText="1"/>
    </xf>
    <xf numFmtId="38" fontId="69" fillId="0" borderId="0" xfId="46" applyNumberFormat="1" applyFont="1" applyBorder="1" applyAlignment="1">
      <alignment horizontal="center" vertical="center" wrapText="1"/>
    </xf>
    <xf numFmtId="186" fontId="35" fillId="42" borderId="44" xfId="33" applyNumberFormat="1" applyFont="1" applyFill="1" applyBorder="1" applyAlignment="1"/>
    <xf numFmtId="186" fontId="20" fillId="0" borderId="0" xfId="0" applyNumberFormat="1" applyFont="1" applyBorder="1" applyAlignment="1">
      <alignment horizontal="right" vertical="center"/>
    </xf>
    <xf numFmtId="38" fontId="35" fillId="0" borderId="0" xfId="48" applyNumberFormat="1"/>
    <xf numFmtId="38" fontId="20" fillId="0" borderId="0" xfId="33" applyFont="1" applyBorder="1" applyAlignment="1">
      <alignment horizontal="right" vertical="center"/>
    </xf>
    <xf numFmtId="38" fontId="20" fillId="0" borderId="0" xfId="0" applyNumberFormat="1" applyFont="1">
      <alignment vertical="center"/>
    </xf>
    <xf numFmtId="0" fontId="38" fillId="0" borderId="53" xfId="48" applyFont="1" applyFill="1" applyBorder="1" applyAlignment="1">
      <alignment horizontal="center" vertical="center" wrapText="1"/>
    </xf>
    <xf numFmtId="0" fontId="38" fillId="0" borderId="0" xfId="48" applyFont="1" applyFill="1" applyBorder="1" applyAlignment="1">
      <alignment horizontal="center" vertical="center" wrapText="1"/>
    </xf>
    <xf numFmtId="38" fontId="35" fillId="0" borderId="53" xfId="48" applyNumberFormat="1" applyBorder="1"/>
    <xf numFmtId="38" fontId="35" fillId="0" borderId="0" xfId="48" applyNumberFormat="1" applyBorder="1"/>
    <xf numFmtId="38" fontId="20" fillId="0" borderId="44" xfId="33" applyFont="1" applyFill="1" applyBorder="1" applyAlignment="1">
      <alignment vertical="center"/>
    </xf>
    <xf numFmtId="183" fontId="20" fillId="0" borderId="44" xfId="0" applyNumberFormat="1" applyFont="1" applyFill="1" applyBorder="1" applyAlignment="1">
      <alignment horizontal="right" vertical="center"/>
    </xf>
    <xf numFmtId="0" fontId="20" fillId="0" borderId="0" xfId="0" applyFont="1" applyAlignment="1">
      <alignment vertical="center" wrapText="1"/>
    </xf>
    <xf numFmtId="38" fontId="73" fillId="0" borderId="0" xfId="46" applyFont="1" applyBorder="1" applyAlignment="1">
      <alignment horizontal="center" vertical="center" wrapText="1"/>
    </xf>
    <xf numFmtId="0" fontId="46" fillId="24" borderId="0" xfId="0" applyFont="1" applyFill="1" applyBorder="1">
      <alignment vertical="center"/>
    </xf>
    <xf numFmtId="0" fontId="45" fillId="24" borderId="0" xfId="0" applyFont="1" applyFill="1" applyBorder="1">
      <alignment vertical="center"/>
    </xf>
    <xf numFmtId="0" fontId="75" fillId="24" borderId="0" xfId="0" applyFont="1" applyFill="1" applyBorder="1" applyAlignment="1">
      <alignment horizontal="right" vertical="center"/>
    </xf>
    <xf numFmtId="0" fontId="46" fillId="24" borderId="0" xfId="0" applyFont="1" applyFill="1" applyBorder="1" applyAlignment="1">
      <alignment horizontal="center" vertical="center"/>
    </xf>
    <xf numFmtId="0" fontId="46" fillId="24" borderId="0" xfId="0" applyFont="1" applyFill="1" applyBorder="1" applyAlignment="1">
      <alignment horizontal="right" vertical="center"/>
    </xf>
    <xf numFmtId="0" fontId="46" fillId="24" borderId="0" xfId="0" applyFont="1" applyFill="1" applyBorder="1" applyAlignment="1">
      <alignment vertical="top"/>
    </xf>
    <xf numFmtId="0" fontId="46" fillId="24" borderId="0" xfId="0" applyFont="1" applyFill="1" applyAlignment="1">
      <alignment vertical="center"/>
    </xf>
    <xf numFmtId="0" fontId="27" fillId="24" borderId="0" xfId="0" applyFont="1" applyFill="1" applyBorder="1">
      <alignment vertical="center"/>
    </xf>
    <xf numFmtId="38" fontId="70" fillId="35" borderId="54" xfId="46" applyFont="1" applyFill="1" applyBorder="1" applyAlignment="1">
      <alignment horizontal="center" vertical="center" wrapText="1"/>
    </xf>
    <xf numFmtId="38" fontId="70" fillId="35" borderId="44" xfId="46" applyFont="1" applyFill="1" applyBorder="1" applyAlignment="1">
      <alignment horizontal="center" vertical="center" wrapText="1"/>
    </xf>
    <xf numFmtId="38" fontId="70" fillId="35" borderId="44" xfId="46" applyFont="1" applyFill="1" applyBorder="1" applyAlignment="1">
      <alignment vertical="center" wrapText="1"/>
    </xf>
    <xf numFmtId="0" fontId="68" fillId="35" borderId="74" xfId="45" applyFont="1" applyFill="1" applyBorder="1" applyAlignment="1">
      <alignment horizontal="center" vertical="center"/>
    </xf>
    <xf numFmtId="38" fontId="70" fillId="35" borderId="47" xfId="46" applyFont="1" applyFill="1" applyBorder="1" applyAlignment="1">
      <alignment horizontal="center" vertical="center" wrapText="1"/>
    </xf>
    <xf numFmtId="0" fontId="49" fillId="24" borderId="47" xfId="0" applyFont="1" applyFill="1" applyBorder="1" applyAlignment="1">
      <alignment horizontal="center" vertical="center"/>
    </xf>
    <xf numFmtId="0" fontId="49" fillId="24" borderId="69" xfId="0" applyFont="1" applyFill="1" applyBorder="1" applyAlignment="1">
      <alignment horizontal="center" vertical="center"/>
    </xf>
    <xf numFmtId="0" fontId="49" fillId="24" borderId="54" xfId="0" applyFont="1" applyFill="1" applyBorder="1" applyAlignment="1">
      <alignment horizontal="center" vertical="center"/>
    </xf>
    <xf numFmtId="0" fontId="49" fillId="0" borderId="47" xfId="0" applyNumberFormat="1" applyFont="1" applyFill="1" applyBorder="1" applyAlignment="1">
      <alignment horizontal="center" vertical="center"/>
    </xf>
    <xf numFmtId="0" fontId="49" fillId="0" borderId="69" xfId="0" applyNumberFormat="1" applyFont="1" applyFill="1" applyBorder="1" applyAlignment="1">
      <alignment horizontal="center" vertical="center"/>
    </xf>
    <xf numFmtId="0" fontId="49" fillId="0" borderId="54" xfId="0" applyNumberFormat="1" applyFont="1" applyFill="1" applyBorder="1" applyAlignment="1">
      <alignment horizontal="center" vertical="center"/>
    </xf>
    <xf numFmtId="178" fontId="55" fillId="37" borderId="42" xfId="0" applyNumberFormat="1" applyFont="1" applyFill="1" applyBorder="1" applyAlignment="1">
      <alignment horizontal="right" vertical="center"/>
    </xf>
    <xf numFmtId="0" fontId="43" fillId="37" borderId="41" xfId="0" applyFont="1" applyFill="1" applyBorder="1" applyAlignment="1">
      <alignment horizontal="right" vertical="center"/>
    </xf>
    <xf numFmtId="188" fontId="49" fillId="0" borderId="47" xfId="0" applyNumberFormat="1" applyFont="1" applyFill="1" applyBorder="1" applyAlignment="1">
      <alignment horizontal="center" vertical="center"/>
    </xf>
    <xf numFmtId="188" fontId="49" fillId="0" borderId="69" xfId="0" applyNumberFormat="1" applyFont="1" applyFill="1" applyBorder="1" applyAlignment="1">
      <alignment horizontal="center" vertical="center"/>
    </xf>
    <xf numFmtId="188" fontId="49" fillId="0" borderId="54" xfId="0" applyNumberFormat="1" applyFont="1" applyFill="1" applyBorder="1" applyAlignment="1">
      <alignment horizontal="center" vertical="center"/>
    </xf>
    <xf numFmtId="0" fontId="44" fillId="30" borderId="17" xfId="0" applyFont="1" applyFill="1" applyBorder="1" applyAlignment="1">
      <alignment horizontal="center" vertical="center"/>
    </xf>
    <xf numFmtId="0" fontId="44" fillId="30" borderId="16" xfId="0" applyFont="1" applyFill="1" applyBorder="1" applyAlignment="1">
      <alignment horizontal="center" vertical="center"/>
    </xf>
    <xf numFmtId="0" fontId="44" fillId="30" borderId="14" xfId="0" applyFont="1" applyFill="1" applyBorder="1" applyAlignment="1">
      <alignment horizontal="center" vertical="center"/>
    </xf>
    <xf numFmtId="38" fontId="43" fillId="24" borderId="76" xfId="0" applyNumberFormat="1" applyFont="1" applyFill="1" applyBorder="1" applyAlignment="1">
      <alignment horizontal="right" vertical="center"/>
    </xf>
    <xf numFmtId="178" fontId="55" fillId="37" borderId="87" xfId="0" applyNumberFormat="1" applyFont="1" applyFill="1" applyBorder="1" applyAlignment="1">
      <alignment horizontal="right" vertical="center"/>
    </xf>
    <xf numFmtId="178" fontId="55" fillId="37" borderId="88" xfId="0" applyNumberFormat="1" applyFont="1" applyFill="1" applyBorder="1" applyAlignment="1">
      <alignment horizontal="right" vertical="center"/>
    </xf>
    <xf numFmtId="0" fontId="65" fillId="24" borderId="0" xfId="0" applyFont="1" applyFill="1" applyBorder="1" applyAlignment="1">
      <alignment horizontal="center" vertical="center"/>
    </xf>
    <xf numFmtId="0" fontId="43" fillId="24" borderId="80" xfId="0" applyFont="1" applyFill="1" applyBorder="1" applyAlignment="1">
      <alignment horizontal="center" vertical="center"/>
    </xf>
    <xf numFmtId="0" fontId="43" fillId="24" borderId="81" xfId="0" applyFont="1" applyFill="1" applyBorder="1" applyAlignment="1">
      <alignment horizontal="center" vertical="center"/>
    </xf>
    <xf numFmtId="178" fontId="55" fillId="27" borderId="36" xfId="0" applyNumberFormat="1" applyFont="1" applyFill="1" applyBorder="1">
      <alignment vertical="center"/>
    </xf>
    <xf numFmtId="178" fontId="43" fillId="0" borderId="37" xfId="0" applyNumberFormat="1" applyFont="1" applyBorder="1">
      <alignment vertical="center"/>
    </xf>
    <xf numFmtId="178" fontId="55" fillId="26" borderId="50" xfId="0" applyNumberFormat="1" applyFont="1" applyFill="1" applyBorder="1">
      <alignment vertical="center"/>
    </xf>
    <xf numFmtId="178" fontId="55" fillId="25" borderId="50" xfId="0" applyNumberFormat="1" applyFont="1" applyFill="1" applyBorder="1">
      <alignment vertical="center"/>
    </xf>
    <xf numFmtId="178" fontId="55" fillId="37" borderId="50" xfId="0" applyNumberFormat="1" applyFont="1" applyFill="1" applyBorder="1">
      <alignment vertical="center"/>
    </xf>
    <xf numFmtId="178" fontId="43" fillId="37" borderId="37" xfId="0" applyNumberFormat="1" applyFont="1" applyFill="1" applyBorder="1">
      <alignment vertical="center"/>
    </xf>
    <xf numFmtId="178" fontId="57" fillId="24" borderId="77" xfId="0" applyNumberFormat="1" applyFont="1" applyFill="1" applyBorder="1" applyAlignment="1">
      <alignment horizontal="right" vertical="center"/>
    </xf>
    <xf numFmtId="178" fontId="57" fillId="24" borderId="78" xfId="0" applyNumberFormat="1" applyFont="1" applyFill="1" applyBorder="1" applyAlignment="1">
      <alignment horizontal="right" vertical="center"/>
    </xf>
    <xf numFmtId="178" fontId="57" fillId="24" borderId="79" xfId="0" applyNumberFormat="1" applyFont="1" applyFill="1" applyBorder="1" applyAlignment="1">
      <alignment horizontal="right" vertical="center"/>
    </xf>
    <xf numFmtId="178" fontId="57" fillId="24" borderId="18" xfId="0" applyNumberFormat="1" applyFont="1" applyFill="1" applyBorder="1" applyAlignment="1">
      <alignment horizontal="right" vertical="center"/>
    </xf>
    <xf numFmtId="180" fontId="50" fillId="24" borderId="51" xfId="0" applyNumberFormat="1" applyFont="1" applyFill="1" applyBorder="1" applyAlignment="1">
      <alignment horizontal="right" vertical="center"/>
    </xf>
    <xf numFmtId="180" fontId="50" fillId="24" borderId="52" xfId="0" applyNumberFormat="1" applyFont="1" applyFill="1" applyBorder="1" applyAlignment="1">
      <alignment horizontal="right" vertical="center"/>
    </xf>
    <xf numFmtId="178" fontId="61" fillId="0" borderId="0" xfId="0" applyNumberFormat="1" applyFont="1" applyFill="1" applyBorder="1" applyAlignment="1">
      <alignment horizontal="center" vertical="center"/>
    </xf>
    <xf numFmtId="0" fontId="65" fillId="24" borderId="16" xfId="0" quotePrefix="1" applyFont="1" applyFill="1" applyBorder="1" applyAlignment="1">
      <alignment horizontal="center" vertical="center"/>
    </xf>
    <xf numFmtId="0" fontId="65" fillId="0" borderId="16" xfId="0" applyFont="1" applyBorder="1" applyAlignment="1">
      <alignment horizontal="center" vertical="center"/>
    </xf>
    <xf numFmtId="0" fontId="65" fillId="0" borderId="23" xfId="0" applyFont="1" applyBorder="1" applyAlignment="1">
      <alignment horizontal="center" vertical="center"/>
    </xf>
    <xf numFmtId="178" fontId="55" fillId="25" borderId="24" xfId="0" applyNumberFormat="1" applyFont="1" applyFill="1" applyBorder="1" applyAlignment="1">
      <alignment horizontal="right" vertical="center"/>
    </xf>
    <xf numFmtId="178" fontId="55" fillId="27" borderId="17" xfId="0" applyNumberFormat="1" applyFont="1" applyFill="1" applyBorder="1" applyAlignment="1">
      <alignment horizontal="right" vertical="center"/>
    </xf>
    <xf numFmtId="178" fontId="55" fillId="27" borderId="16" xfId="0" applyNumberFormat="1" applyFont="1" applyFill="1" applyBorder="1" applyAlignment="1">
      <alignment horizontal="right" vertical="center"/>
    </xf>
    <xf numFmtId="178" fontId="55" fillId="26" borderId="42" xfId="0" applyNumberFormat="1" applyFont="1" applyFill="1" applyBorder="1" applyAlignment="1">
      <alignment horizontal="right" vertical="center"/>
    </xf>
    <xf numFmtId="0" fontId="43" fillId="0" borderId="41" xfId="0" applyFont="1" applyBorder="1" applyAlignment="1">
      <alignment horizontal="right" vertical="center"/>
    </xf>
    <xf numFmtId="178" fontId="55" fillId="25" borderId="41" xfId="0" applyNumberFormat="1" applyFont="1" applyFill="1" applyBorder="1" applyAlignment="1">
      <alignment horizontal="right" vertical="center"/>
    </xf>
    <xf numFmtId="0" fontId="43" fillId="0" borderId="16" xfId="0" applyFont="1" applyBorder="1" applyAlignment="1">
      <alignment horizontal="right" vertical="center"/>
    </xf>
    <xf numFmtId="0" fontId="44" fillId="36" borderId="17" xfId="0" applyFont="1" applyFill="1" applyBorder="1" applyAlignment="1">
      <alignment horizontal="center" vertical="center"/>
    </xf>
    <xf numFmtId="0" fontId="44" fillId="36" borderId="16" xfId="0" applyFont="1" applyFill="1" applyBorder="1" applyAlignment="1">
      <alignment horizontal="center" vertical="center"/>
    </xf>
    <xf numFmtId="0" fontId="44" fillId="36" borderId="14" xfId="0" applyFont="1" applyFill="1" applyBorder="1" applyAlignment="1">
      <alignment horizontal="center" vertical="center"/>
    </xf>
    <xf numFmtId="0" fontId="44" fillId="0" borderId="36" xfId="0" applyFont="1" applyFill="1" applyBorder="1" applyAlignment="1">
      <alignment horizontal="center" vertical="center"/>
    </xf>
    <xf numFmtId="0" fontId="44" fillId="0" borderId="37" xfId="0" applyFont="1" applyFill="1" applyBorder="1" applyAlignment="1">
      <alignment horizontal="center" vertical="center"/>
    </xf>
    <xf numFmtId="0" fontId="44" fillId="0" borderId="38" xfId="0" applyFont="1" applyFill="1" applyBorder="1" applyAlignment="1">
      <alignment horizontal="center" vertical="center"/>
    </xf>
    <xf numFmtId="0" fontId="48" fillId="24" borderId="0" xfId="0" applyFont="1" applyFill="1" applyBorder="1" applyAlignment="1">
      <alignment horizontal="left" vertical="center"/>
    </xf>
    <xf numFmtId="0" fontId="48" fillId="24" borderId="0" xfId="0" applyFont="1" applyFill="1" applyBorder="1" applyAlignment="1" applyProtection="1">
      <alignment horizontal="left" vertical="center"/>
    </xf>
    <xf numFmtId="0" fontId="44" fillId="27" borderId="40" xfId="0" applyFont="1" applyFill="1" applyBorder="1" applyAlignment="1">
      <alignment horizontal="center" vertical="center"/>
    </xf>
    <xf numFmtId="0" fontId="43" fillId="0" borderId="39" xfId="0" applyFont="1" applyBorder="1" applyAlignment="1">
      <alignment horizontal="center" vertical="center"/>
    </xf>
    <xf numFmtId="0" fontId="44" fillId="26" borderId="39" xfId="0" applyFont="1" applyFill="1" applyBorder="1" applyAlignment="1">
      <alignment horizontal="center" vertical="center"/>
    </xf>
    <xf numFmtId="0" fontId="44" fillId="24" borderId="0" xfId="0" applyFont="1" applyFill="1" applyAlignment="1">
      <alignment horizontal="center" vertical="center"/>
    </xf>
    <xf numFmtId="178" fontId="43" fillId="0" borderId="29" xfId="0" applyNumberFormat="1" applyFont="1" applyBorder="1" applyProtection="1">
      <alignment vertical="center"/>
      <protection locked="0"/>
    </xf>
    <xf numFmtId="178" fontId="43" fillId="0" borderId="30" xfId="0" applyNumberFormat="1" applyFont="1" applyBorder="1" applyProtection="1">
      <alignment vertical="center"/>
      <protection locked="0"/>
    </xf>
    <xf numFmtId="178" fontId="43" fillId="0" borderId="31" xfId="0" applyNumberFormat="1" applyFont="1" applyBorder="1" applyProtection="1">
      <alignment vertical="center"/>
      <protection locked="0"/>
    </xf>
    <xf numFmtId="0" fontId="44" fillId="24" borderId="22" xfId="0" applyFont="1" applyFill="1" applyBorder="1" applyAlignment="1">
      <alignment horizontal="center" vertical="center"/>
    </xf>
    <xf numFmtId="0" fontId="45" fillId="24" borderId="0" xfId="0" applyFont="1" applyFill="1" applyAlignment="1">
      <alignment horizontal="center" vertical="center" wrapText="1"/>
    </xf>
    <xf numFmtId="0" fontId="46" fillId="0" borderId="0" xfId="0" applyFont="1" applyAlignment="1">
      <alignment horizontal="center" vertical="center" wrapText="1"/>
    </xf>
    <xf numFmtId="38" fontId="43" fillId="24" borderId="19" xfId="33" applyFont="1" applyFill="1" applyBorder="1" applyAlignment="1" applyProtection="1">
      <alignment vertical="center"/>
      <protection locked="0"/>
    </xf>
    <xf numFmtId="38" fontId="43" fillId="24" borderId="20" xfId="33" applyFont="1" applyFill="1" applyBorder="1" applyAlignment="1" applyProtection="1">
      <alignment vertical="center"/>
      <protection locked="0"/>
    </xf>
    <xf numFmtId="38" fontId="43" fillId="24" borderId="21" xfId="33" applyFont="1" applyFill="1" applyBorder="1" applyAlignment="1" applyProtection="1">
      <alignment vertical="center"/>
      <protection locked="0"/>
    </xf>
    <xf numFmtId="178" fontId="43" fillId="0" borderId="19" xfId="0" applyNumberFormat="1" applyFont="1" applyFill="1" applyBorder="1" applyAlignment="1" applyProtection="1">
      <alignment vertical="center"/>
      <protection locked="0"/>
    </xf>
    <xf numFmtId="178" fontId="43" fillId="0" borderId="20" xfId="0" applyNumberFormat="1" applyFont="1" applyFill="1" applyBorder="1" applyAlignment="1" applyProtection="1">
      <alignment vertical="center"/>
      <protection locked="0"/>
    </xf>
    <xf numFmtId="178" fontId="43" fillId="0" borderId="21" xfId="0" applyNumberFormat="1" applyFont="1" applyFill="1" applyBorder="1" applyAlignment="1" applyProtection="1">
      <alignment vertical="center"/>
      <protection locked="0"/>
    </xf>
    <xf numFmtId="178" fontId="43" fillId="0" borderId="29" xfId="0" applyNumberFormat="1" applyFont="1" applyFill="1" applyBorder="1" applyAlignment="1" applyProtection="1">
      <alignment vertical="center"/>
      <protection locked="0"/>
    </xf>
    <xf numFmtId="178" fontId="43" fillId="0" borderId="30" xfId="0" applyNumberFormat="1" applyFont="1" applyFill="1" applyBorder="1" applyAlignment="1" applyProtection="1">
      <alignment vertical="center"/>
      <protection locked="0"/>
    </xf>
    <xf numFmtId="178" fontId="43" fillId="0" borderId="31" xfId="0" applyNumberFormat="1" applyFont="1" applyFill="1" applyBorder="1" applyAlignment="1" applyProtection="1">
      <alignment vertical="center"/>
      <protection locked="0"/>
    </xf>
    <xf numFmtId="0" fontId="44" fillId="37" borderId="50" xfId="0" applyFont="1" applyFill="1" applyBorder="1" applyAlignment="1">
      <alignment horizontal="center" vertical="center"/>
    </xf>
    <xf numFmtId="0" fontId="44" fillId="37" borderId="37" xfId="0" applyFont="1" applyFill="1" applyBorder="1" applyAlignment="1">
      <alignment horizontal="center" vertical="center"/>
    </xf>
    <xf numFmtId="0" fontId="44" fillId="37" borderId="38" xfId="0" applyFont="1" applyFill="1" applyBorder="1" applyAlignment="1">
      <alignment horizontal="center" vertical="center"/>
    </xf>
    <xf numFmtId="0" fontId="44" fillId="25" borderId="37" xfId="0" applyFont="1" applyFill="1" applyBorder="1" applyAlignment="1">
      <alignment horizontal="center" vertical="center"/>
    </xf>
    <xf numFmtId="0" fontId="43" fillId="0" borderId="37" xfId="0" applyFont="1" applyBorder="1" applyAlignment="1">
      <alignment horizontal="center" vertical="center"/>
    </xf>
    <xf numFmtId="0" fontId="44" fillId="0" borderId="36" xfId="0" applyFont="1" applyFill="1" applyBorder="1" applyAlignment="1">
      <alignment horizontal="center" vertical="center" wrapText="1"/>
    </xf>
    <xf numFmtId="178" fontId="55" fillId="26" borderId="26" xfId="0" applyNumberFormat="1" applyFont="1" applyFill="1" applyBorder="1" applyAlignment="1">
      <alignment horizontal="right" vertical="center"/>
    </xf>
    <xf numFmtId="178" fontId="55" fillId="26" borderId="24" xfId="0" applyNumberFormat="1" applyFont="1" applyFill="1" applyBorder="1" applyAlignment="1">
      <alignment horizontal="right" vertical="center"/>
    </xf>
    <xf numFmtId="178" fontId="55" fillId="27" borderId="37" xfId="0" applyNumberFormat="1" applyFont="1" applyFill="1" applyBorder="1" applyAlignment="1">
      <alignment horizontal="right" vertical="center"/>
    </xf>
    <xf numFmtId="178" fontId="55" fillId="27" borderId="24" xfId="0" applyNumberFormat="1" applyFont="1" applyFill="1" applyBorder="1" applyAlignment="1">
      <alignment horizontal="right" vertical="center"/>
    </xf>
    <xf numFmtId="0" fontId="68" fillId="34" borderId="44" xfId="48" applyFont="1" applyFill="1" applyBorder="1" applyAlignment="1">
      <alignment horizontal="center" vertical="center" wrapText="1"/>
    </xf>
    <xf numFmtId="38" fontId="68" fillId="35" borderId="59" xfId="48" applyNumberFormat="1" applyFont="1" applyFill="1" applyBorder="1" applyAlignment="1">
      <alignment horizontal="center" vertical="center" wrapText="1"/>
    </xf>
    <xf numFmtId="38" fontId="68" fillId="35" borderId="60" xfId="48" applyNumberFormat="1" applyFont="1" applyFill="1" applyBorder="1" applyAlignment="1">
      <alignment horizontal="center" vertical="center" wrapText="1"/>
    </xf>
    <xf numFmtId="38" fontId="68" fillId="35" borderId="61" xfId="48" applyNumberFormat="1" applyFont="1" applyFill="1" applyBorder="1" applyAlignment="1">
      <alignment horizontal="center" vertical="center" wrapText="1"/>
    </xf>
    <xf numFmtId="0" fontId="68" fillId="34" borderId="65" xfId="48" applyFont="1" applyFill="1" applyBorder="1" applyAlignment="1">
      <alignment horizontal="center" vertical="center" wrapText="1"/>
    </xf>
    <xf numFmtId="0" fontId="68" fillId="34" borderId="66" xfId="48" applyFont="1" applyFill="1" applyBorder="1" applyAlignment="1">
      <alignment horizontal="center" vertical="center" wrapText="1"/>
    </xf>
    <xf numFmtId="0" fontId="68" fillId="38" borderId="44" xfId="45" applyFont="1" applyFill="1" applyBorder="1" applyAlignment="1">
      <alignment horizontal="center" vertical="center"/>
    </xf>
    <xf numFmtId="38" fontId="70" fillId="35" borderId="49" xfId="46" applyFont="1" applyFill="1" applyBorder="1" applyAlignment="1">
      <alignment horizontal="center" vertical="center" wrapText="1"/>
    </xf>
    <xf numFmtId="38" fontId="70" fillId="35" borderId="57" xfId="46" applyFont="1" applyFill="1" applyBorder="1" applyAlignment="1">
      <alignment horizontal="center" vertical="center" wrapText="1"/>
    </xf>
    <xf numFmtId="38" fontId="70" fillId="35" borderId="35" xfId="46" applyFont="1" applyFill="1" applyBorder="1" applyAlignment="1">
      <alignment horizontal="center" vertical="center" wrapText="1"/>
    </xf>
    <xf numFmtId="38" fontId="68" fillId="35" borderId="48" xfId="48" applyNumberFormat="1" applyFont="1" applyFill="1" applyBorder="1" applyAlignment="1">
      <alignment horizontal="center" vertical="center" wrapText="1"/>
    </xf>
    <xf numFmtId="38" fontId="68" fillId="35" borderId="45" xfId="48" applyNumberFormat="1" applyFont="1" applyFill="1" applyBorder="1" applyAlignment="1">
      <alignment horizontal="center" vertical="center" wrapText="1"/>
    </xf>
    <xf numFmtId="38" fontId="68" fillId="35" borderId="62" xfId="48" applyNumberFormat="1" applyFont="1" applyFill="1" applyBorder="1" applyAlignment="1">
      <alignment horizontal="center" vertical="center" wrapText="1"/>
    </xf>
    <xf numFmtId="0" fontId="66" fillId="36" borderId="58" xfId="48" applyFont="1" applyFill="1" applyBorder="1" applyAlignment="1">
      <alignment horizontal="center" vertical="center" wrapText="1"/>
    </xf>
    <xf numFmtId="0" fontId="66" fillId="36" borderId="55" xfId="48" applyFont="1" applyFill="1" applyBorder="1" applyAlignment="1">
      <alignment horizontal="center" vertical="center" wrapText="1"/>
    </xf>
    <xf numFmtId="0" fontId="68" fillId="34" borderId="54" xfId="48" applyFont="1" applyFill="1" applyBorder="1" applyAlignment="1">
      <alignment horizontal="center" vertical="center" wrapText="1"/>
    </xf>
    <xf numFmtId="0" fontId="72" fillId="38" borderId="36" xfId="0" applyFont="1" applyFill="1" applyBorder="1" applyAlignment="1">
      <alignment horizontal="center" vertical="center"/>
    </xf>
    <xf numFmtId="0" fontId="72" fillId="38" borderId="24" xfId="0" applyFont="1" applyFill="1" applyBorder="1" applyAlignment="1">
      <alignment horizontal="center" vertical="center"/>
    </xf>
    <xf numFmtId="0" fontId="72" fillId="38" borderId="25" xfId="0" applyFont="1" applyFill="1" applyBorder="1" applyAlignment="1">
      <alignment horizontal="center" vertical="center"/>
    </xf>
    <xf numFmtId="0" fontId="72" fillId="33" borderId="36" xfId="0" applyFont="1" applyFill="1" applyBorder="1" applyAlignment="1">
      <alignment horizontal="center" vertical="center"/>
    </xf>
    <xf numFmtId="0" fontId="72" fillId="33" borderId="24" xfId="0" applyFont="1" applyFill="1" applyBorder="1" applyAlignment="1">
      <alignment horizontal="center" vertical="center"/>
    </xf>
    <xf numFmtId="0" fontId="72" fillId="33" borderId="25" xfId="0" applyFont="1" applyFill="1" applyBorder="1" applyAlignment="1">
      <alignment horizontal="center" vertical="center"/>
    </xf>
    <xf numFmtId="0" fontId="68" fillId="36" borderId="47" xfId="48" applyFont="1" applyFill="1" applyBorder="1" applyAlignment="1">
      <alignment horizontal="center" vertical="center" wrapText="1"/>
    </xf>
    <xf numFmtId="0" fontId="68" fillId="36" borderId="54" xfId="48" applyFont="1" applyFill="1" applyBorder="1" applyAlignment="1">
      <alignment horizontal="center" vertical="center" wrapText="1"/>
    </xf>
    <xf numFmtId="0" fontId="68" fillId="36" borderId="69" xfId="48" applyFont="1" applyFill="1" applyBorder="1" applyAlignment="1">
      <alignment horizontal="center" vertical="center" wrapText="1"/>
    </xf>
    <xf numFmtId="0" fontId="68" fillId="36" borderId="56" xfId="48" applyFont="1" applyFill="1" applyBorder="1" applyAlignment="1">
      <alignment horizontal="center" vertical="center" wrapText="1"/>
    </xf>
    <xf numFmtId="178" fontId="72" fillId="39" borderId="36" xfId="0" applyNumberFormat="1" applyFont="1" applyFill="1" applyBorder="1" applyAlignment="1">
      <alignment horizontal="center" vertical="center"/>
    </xf>
    <xf numFmtId="178" fontId="72" fillId="39" borderId="24" xfId="0" applyNumberFormat="1" applyFont="1" applyFill="1" applyBorder="1" applyAlignment="1">
      <alignment horizontal="center" vertical="center"/>
    </xf>
    <xf numFmtId="178" fontId="72" fillId="39" borderId="25" xfId="0" applyNumberFormat="1" applyFont="1" applyFill="1" applyBorder="1" applyAlignment="1">
      <alignment horizontal="center" vertical="center"/>
    </xf>
    <xf numFmtId="0" fontId="68" fillId="33" borderId="44" xfId="45" applyFont="1" applyFill="1" applyBorder="1" applyAlignment="1">
      <alignment horizontal="center" vertical="center"/>
    </xf>
    <xf numFmtId="0" fontId="66" fillId="36" borderId="82" xfId="48" applyFont="1" applyFill="1" applyBorder="1" applyAlignment="1">
      <alignment horizontal="center" vertical="center" wrapText="1"/>
    </xf>
    <xf numFmtId="0" fontId="66" fillId="36" borderId="83" xfId="48" applyFont="1" applyFill="1" applyBorder="1" applyAlignment="1">
      <alignment horizontal="center" vertical="center" wrapText="1"/>
    </xf>
    <xf numFmtId="10" fontId="70" fillId="35" borderId="49" xfId="47" applyNumberFormat="1" applyFont="1" applyFill="1" applyBorder="1" applyAlignment="1">
      <alignment horizontal="center" vertical="center" wrapText="1"/>
    </xf>
    <xf numFmtId="10" fontId="70" fillId="35" borderId="57" xfId="47" applyNumberFormat="1" applyFont="1" applyFill="1" applyBorder="1" applyAlignment="1">
      <alignment horizontal="center" vertical="center" wrapText="1"/>
    </xf>
    <xf numFmtId="10" fontId="70" fillId="35" borderId="35" xfId="47" applyNumberFormat="1" applyFont="1" applyFill="1" applyBorder="1" applyAlignment="1">
      <alignment horizontal="center" vertical="center" wrapText="1"/>
    </xf>
    <xf numFmtId="0" fontId="68" fillId="39" borderId="44" xfId="45" applyFont="1" applyFill="1" applyBorder="1" applyAlignment="1">
      <alignment horizontal="center" vertical="center"/>
    </xf>
    <xf numFmtId="38" fontId="70" fillId="35" borderId="85" xfId="46" applyFont="1" applyFill="1" applyBorder="1" applyAlignment="1">
      <alignment horizontal="center" vertical="center" wrapText="1"/>
    </xf>
    <xf numFmtId="38" fontId="70" fillId="35" borderId="86" xfId="46" applyFont="1" applyFill="1" applyBorder="1" applyAlignment="1">
      <alignment horizontal="center" vertical="center" wrapText="1"/>
    </xf>
    <xf numFmtId="38" fontId="70" fillId="35" borderId="47" xfId="46" applyFont="1" applyFill="1" applyBorder="1" applyAlignment="1">
      <alignment horizontal="center" vertical="center" wrapText="1"/>
    </xf>
    <xf numFmtId="0" fontId="66" fillId="34" borderId="82" xfId="48" applyFont="1" applyFill="1" applyBorder="1" applyAlignment="1">
      <alignment horizontal="center" vertical="center" wrapText="1"/>
    </xf>
    <xf numFmtId="0" fontId="66" fillId="34" borderId="83" xfId="48" applyFont="1" applyFill="1" applyBorder="1" applyAlignment="1">
      <alignment horizontal="center" vertical="center" wrapText="1"/>
    </xf>
    <xf numFmtId="0" fontId="68" fillId="40" borderId="70" xfId="48" applyFont="1" applyFill="1" applyBorder="1" applyAlignment="1">
      <alignment horizontal="center" vertical="center" wrapText="1"/>
    </xf>
    <xf numFmtId="0" fontId="68" fillId="40" borderId="72" xfId="48" applyFont="1" applyFill="1" applyBorder="1" applyAlignment="1">
      <alignment horizontal="center" vertical="center" wrapText="1"/>
    </xf>
    <xf numFmtId="38" fontId="70" fillId="35" borderId="59" xfId="46" applyFont="1" applyFill="1" applyBorder="1" applyAlignment="1">
      <alignment horizontal="center" vertical="center" wrapText="1"/>
    </xf>
    <xf numFmtId="38" fontId="70" fillId="35" borderId="60" xfId="46" applyFont="1" applyFill="1" applyBorder="1" applyAlignment="1">
      <alignment horizontal="center" vertical="center" wrapText="1"/>
    </xf>
    <xf numFmtId="38" fontId="70" fillId="35" borderId="61" xfId="46" applyFont="1" applyFill="1" applyBorder="1" applyAlignment="1">
      <alignment horizontal="center" vertical="center" wrapText="1"/>
    </xf>
    <xf numFmtId="38" fontId="70" fillId="35" borderId="70" xfId="46" applyFont="1" applyFill="1" applyBorder="1" applyAlignment="1">
      <alignment horizontal="center" vertical="center" wrapText="1"/>
    </xf>
    <xf numFmtId="38" fontId="70" fillId="35" borderId="71" xfId="46" applyFont="1" applyFill="1" applyBorder="1" applyAlignment="1">
      <alignment horizontal="center" vertical="center" wrapText="1"/>
    </xf>
    <xf numFmtId="38" fontId="70" fillId="35" borderId="72" xfId="46" applyFont="1" applyFill="1" applyBorder="1" applyAlignment="1">
      <alignment horizontal="center" vertical="center" wrapText="1"/>
    </xf>
    <xf numFmtId="0" fontId="66" fillId="37" borderId="67" xfId="48" applyFont="1" applyFill="1" applyBorder="1" applyAlignment="1">
      <alignment horizontal="center" vertical="center" wrapText="1"/>
    </xf>
    <xf numFmtId="0" fontId="66" fillId="37" borderId="68" xfId="48" applyFont="1" applyFill="1" applyBorder="1" applyAlignment="1">
      <alignment horizontal="center" vertical="center" wrapText="1"/>
    </xf>
    <xf numFmtId="0" fontId="68" fillId="40" borderId="48" xfId="48" applyFont="1" applyFill="1" applyBorder="1" applyAlignment="1">
      <alignment horizontal="center" vertical="center" wrapText="1"/>
    </xf>
    <xf numFmtId="0" fontId="68" fillId="40" borderId="62" xfId="48" applyFont="1" applyFill="1" applyBorder="1" applyAlignment="1">
      <alignment horizontal="center" vertical="center" wrapText="1"/>
    </xf>
    <xf numFmtId="10" fontId="70" fillId="35" borderId="44" xfId="47" applyNumberFormat="1" applyFont="1" applyFill="1" applyBorder="1" applyAlignment="1">
      <alignment horizontal="center" vertical="center" wrapText="1"/>
    </xf>
    <xf numFmtId="185" fontId="70" fillId="35" borderId="33" xfId="46" applyNumberFormat="1" applyFont="1" applyFill="1" applyBorder="1" applyAlignment="1">
      <alignment horizontal="center" vertical="center" wrapText="1"/>
    </xf>
    <xf numFmtId="185" fontId="70" fillId="35" borderId="63" xfId="46" applyNumberFormat="1" applyFont="1" applyFill="1" applyBorder="1" applyAlignment="1">
      <alignment horizontal="center" vertical="center" wrapText="1"/>
    </xf>
    <xf numFmtId="185" fontId="70" fillId="35" borderId="64" xfId="46" applyNumberFormat="1" applyFont="1" applyFill="1" applyBorder="1" applyAlignment="1">
      <alignment horizontal="center" vertical="center" wrapText="1"/>
    </xf>
    <xf numFmtId="38" fontId="70" fillId="35" borderId="44" xfId="46" applyFont="1" applyFill="1" applyBorder="1" applyAlignment="1">
      <alignment horizontal="center" vertical="center" wrapText="1"/>
    </xf>
    <xf numFmtId="0" fontId="68" fillId="35" borderId="49" xfId="48" applyFont="1" applyFill="1" applyBorder="1" applyAlignment="1">
      <alignment horizontal="center" vertical="center" wrapText="1"/>
    </xf>
    <xf numFmtId="0" fontId="68" fillId="35" borderId="57" xfId="48" applyFont="1" applyFill="1" applyBorder="1" applyAlignment="1">
      <alignment horizontal="center" vertical="center" wrapText="1"/>
    </xf>
    <xf numFmtId="0" fontId="68" fillId="35" borderId="35" xfId="48" applyFont="1" applyFill="1" applyBorder="1" applyAlignment="1">
      <alignment horizontal="center" vertical="center" wrapText="1"/>
    </xf>
    <xf numFmtId="0" fontId="68" fillId="40" borderId="47" xfId="48" applyFont="1" applyFill="1" applyBorder="1" applyAlignment="1">
      <alignment horizontal="center" vertical="center" wrapText="1"/>
    </xf>
    <xf numFmtId="0" fontId="66" fillId="33" borderId="84" xfId="48" applyFont="1" applyFill="1" applyBorder="1" applyAlignment="1">
      <alignment horizontal="center" vertical="center" wrapText="1"/>
    </xf>
    <xf numFmtId="0" fontId="66" fillId="33" borderId="85" xfId="48" applyFont="1" applyFill="1" applyBorder="1" applyAlignment="1">
      <alignment horizontal="center" vertical="center" wrapText="1"/>
    </xf>
    <xf numFmtId="0" fontId="68" fillId="34" borderId="83" xfId="48" applyFont="1" applyFill="1" applyBorder="1" applyAlignment="1">
      <alignment horizontal="center" vertical="center" wrapText="1"/>
    </xf>
    <xf numFmtId="38" fontId="70" fillId="35" borderId="65" xfId="46" applyFont="1" applyFill="1" applyBorder="1" applyAlignment="1">
      <alignment horizontal="center" vertical="center" wrapText="1"/>
    </xf>
    <xf numFmtId="38" fontId="70" fillId="35" borderId="75" xfId="46" applyFont="1" applyFill="1" applyBorder="1" applyAlignment="1">
      <alignment horizontal="center" vertical="center" wrapText="1"/>
    </xf>
    <xf numFmtId="38" fontId="70" fillId="35" borderId="66" xfId="46" applyFont="1" applyFill="1" applyBorder="1" applyAlignment="1">
      <alignment horizontal="center" vertical="center" wrapText="1"/>
    </xf>
    <xf numFmtId="0" fontId="68" fillId="36" borderId="73" xfId="48" applyFont="1" applyFill="1" applyBorder="1" applyAlignment="1">
      <alignment horizontal="center" vertical="center" wrapText="1"/>
    </xf>
    <xf numFmtId="0" fontId="66" fillId="38" borderId="84" xfId="48" applyFont="1" applyFill="1" applyBorder="1" applyAlignment="1">
      <alignment horizontal="center" vertical="center" wrapText="1"/>
    </xf>
    <xf numFmtId="0" fontId="66" fillId="38" borderId="85" xfId="48" applyFont="1" applyFill="1" applyBorder="1" applyAlignment="1">
      <alignment horizontal="center" vertical="center" wrapText="1"/>
    </xf>
    <xf numFmtId="38" fontId="68" fillId="35" borderId="47" xfId="48" applyNumberFormat="1" applyFont="1" applyFill="1" applyBorder="1" applyAlignment="1">
      <alignment horizontal="center" vertical="center" wrapText="1"/>
    </xf>
    <xf numFmtId="185" fontId="70" fillId="35" borderId="70" xfId="46" applyNumberFormat="1" applyFont="1" applyFill="1" applyBorder="1" applyAlignment="1">
      <alignment horizontal="center" vertical="center" wrapText="1"/>
    </xf>
    <xf numFmtId="185" fontId="70" fillId="35" borderId="71" xfId="46" applyNumberFormat="1" applyFont="1" applyFill="1" applyBorder="1" applyAlignment="1">
      <alignment horizontal="center" vertical="center" wrapText="1"/>
    </xf>
    <xf numFmtId="185" fontId="70" fillId="35" borderId="72" xfId="46" applyNumberFormat="1" applyFont="1" applyFill="1" applyBorder="1" applyAlignment="1">
      <alignment horizontal="center" vertical="center" wrapText="1"/>
    </xf>
    <xf numFmtId="0" fontId="68" fillId="37" borderId="44" xfId="45" applyFont="1" applyFill="1" applyBorder="1" applyAlignment="1">
      <alignment horizontal="center" vertical="center"/>
    </xf>
    <xf numFmtId="0" fontId="66" fillId="39" borderId="84" xfId="48" applyFont="1" applyFill="1" applyBorder="1" applyAlignment="1">
      <alignment horizontal="center" vertical="center" wrapText="1"/>
    </xf>
    <xf numFmtId="0" fontId="66" fillId="39" borderId="85" xfId="48" applyFont="1" applyFill="1" applyBorder="1" applyAlignment="1">
      <alignment horizontal="center" vertical="center" wrapText="1"/>
    </xf>
    <xf numFmtId="0" fontId="68" fillId="34" borderId="49" xfId="48" applyFont="1" applyFill="1" applyBorder="1" applyAlignment="1">
      <alignment horizontal="center" vertical="center" wrapText="1"/>
    </xf>
    <xf numFmtId="0" fontId="68" fillId="34" borderId="35" xfId="48" applyFont="1" applyFill="1" applyBorder="1" applyAlignment="1">
      <alignment horizontal="center" vertical="center" wrapText="1"/>
    </xf>
    <xf numFmtId="0" fontId="68" fillId="36" borderId="44" xfId="48" applyFont="1" applyFill="1" applyBorder="1" applyAlignment="1">
      <alignment horizontal="center" vertical="center" wrapText="1"/>
    </xf>
    <xf numFmtId="0" fontId="72" fillId="37" borderId="36" xfId="0" applyFont="1" applyFill="1" applyBorder="1" applyAlignment="1">
      <alignment horizontal="center" vertical="center"/>
    </xf>
    <xf numFmtId="0" fontId="72" fillId="37" borderId="24" xfId="0" applyFont="1" applyFill="1" applyBorder="1" applyAlignment="1">
      <alignment horizontal="center" vertical="center"/>
    </xf>
    <xf numFmtId="0" fontId="72" fillId="37" borderId="25" xfId="0" applyFont="1" applyFill="1" applyBorder="1" applyAlignment="1">
      <alignment horizontal="center" vertical="center"/>
    </xf>
    <xf numFmtId="38" fontId="20" fillId="0" borderId="44" xfId="33"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7" xr:uid="{6AE35FF2-FD31-4678-9A57-69A5D4CFE68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6FE82159-504E-4670-B12C-130D3D3BB64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8" xr:uid="{6B1449DE-5523-4B27-A90E-63A0B4490402}"/>
    <cellStyle name="標準 8" xfId="45" xr:uid="{38FF989E-8E13-4C9A-AA22-52748CF17D49}"/>
    <cellStyle name="標準_20政令指定都市料率等" xfId="42" xr:uid="{00000000-0005-0000-0000-00002A000000}"/>
    <cellStyle name="標準_Sheet1" xfId="43" xr:uid="{00000000-0005-0000-0000-00002B000000}"/>
    <cellStyle name="良い" xfId="44" builtinId="26" customBuiltin="1"/>
  </cellStyles>
  <dxfs count="1">
    <dxf>
      <fill>
        <patternFill patternType="solid">
          <fgColor theme="0"/>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FDDDD"/>
      <rgbColor rgb="00DDDDDD"/>
      <rgbColor rgb="00FFFFCC"/>
      <rgbColor rgb="00CCFFFF"/>
      <rgbColor rgb="00660066"/>
      <rgbColor rgb="00FF8080"/>
      <rgbColor rgb="000066CC"/>
      <rgbColor rgb="00CCCCFF"/>
      <rgbColor rgb="00000080"/>
      <rgbColor rgb="00EAEAEA"/>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FF99FF"/>
      <color rgb="FF99CCFF"/>
      <color rgb="FFFF66FF"/>
      <color rgb="FF969696"/>
      <color rgb="FFC0C0C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算定基礎!$C$20" fmlaRange="算定基礎!$C$3:$D$9" noThreeD="1" sel="4" val="0"/>
</file>

<file path=xl/ctrlProps/ctrlProp10.xml><?xml version="1.0" encoding="utf-8"?>
<formControlPr xmlns="http://schemas.microsoft.com/office/spreadsheetml/2009/9/main" objectType="CheckBox" fmlaLink="算定基礎!$K$8" lockText="1" noThreeD="1"/>
</file>

<file path=xl/ctrlProps/ctrlProp11.xml><?xml version="1.0" encoding="utf-8"?>
<formControlPr xmlns="http://schemas.microsoft.com/office/spreadsheetml/2009/9/main" objectType="CheckBox" fmlaLink="算定基礎!$K$7" lockText="1" noThreeD="1"/>
</file>

<file path=xl/ctrlProps/ctrlProp12.xml><?xml version="1.0" encoding="utf-8"?>
<formControlPr xmlns="http://schemas.microsoft.com/office/spreadsheetml/2009/9/main" objectType="CheckBox" fmlaLink="算定基礎!$K$6" lockText="1" noThreeD="1"/>
</file>

<file path=xl/ctrlProps/ctrlProp13.xml><?xml version="1.0" encoding="utf-8"?>
<formControlPr xmlns="http://schemas.microsoft.com/office/spreadsheetml/2009/9/main" objectType="Drop" dropStyle="combo" dx="16" fmlaLink="算定基礎!$A$20" fmlaRange="算定基礎!$A$3:$B$4" noThreeD="1" sel="1" val="0"/>
</file>

<file path=xl/ctrlProps/ctrlProp2.xml><?xml version="1.0" encoding="utf-8"?>
<formControlPr xmlns="http://schemas.microsoft.com/office/spreadsheetml/2009/9/main" objectType="Drop" dropStyle="combo" dx="16" fmlaLink="算定基礎!$C$21" fmlaRange="算定基礎!$E$3:$F$9" noThreeD="1" sel="1" val="0"/>
</file>

<file path=xl/ctrlProps/ctrlProp3.xml><?xml version="1.0" encoding="utf-8"?>
<formControlPr xmlns="http://schemas.microsoft.com/office/spreadsheetml/2009/9/main" objectType="Drop" dropStyle="combo" dx="16" fmlaLink="算定基礎!$C$22" fmlaRange="算定基礎!$E$3:$F$9" noThreeD="1" sel="1" val="0"/>
</file>

<file path=xl/ctrlProps/ctrlProp4.xml><?xml version="1.0" encoding="utf-8"?>
<formControlPr xmlns="http://schemas.microsoft.com/office/spreadsheetml/2009/9/main" objectType="Drop" dropStyle="combo" dx="16" fmlaLink="算定基礎!$C$23" fmlaRange="算定基礎!$E$3:$F$9" noThreeD="1" sel="1" val="0"/>
</file>

<file path=xl/ctrlProps/ctrlProp5.xml><?xml version="1.0" encoding="utf-8"?>
<formControlPr xmlns="http://schemas.microsoft.com/office/spreadsheetml/2009/9/main" objectType="Drop" dropStyle="combo" dx="16" fmlaLink="算定基礎!$C$24" fmlaRange="算定基礎!$E$3:$F$9" noThreeD="1" sel="1" val="0"/>
</file>

<file path=xl/ctrlProps/ctrlProp6.xml><?xml version="1.0" encoding="utf-8"?>
<formControlPr xmlns="http://schemas.microsoft.com/office/spreadsheetml/2009/9/main" objectType="Drop" dropStyle="combo" dx="16" fmlaLink="算定基礎!$C$25" fmlaRange="算定基礎!$E$3:$F$9" noThreeD="1" sel="1" val="0"/>
</file>

<file path=xl/ctrlProps/ctrlProp7.xml><?xml version="1.0" encoding="utf-8"?>
<formControlPr xmlns="http://schemas.microsoft.com/office/spreadsheetml/2009/9/main" objectType="CheckBox" fmlaLink="算定基礎!$K$3" lockText="1" noThreeD="1"/>
</file>

<file path=xl/ctrlProps/ctrlProp8.xml><?xml version="1.0" encoding="utf-8"?>
<formControlPr xmlns="http://schemas.microsoft.com/office/spreadsheetml/2009/9/main" objectType="CheckBox" fmlaLink="算定基礎!$K$5" lockText="1" noThreeD="1"/>
</file>

<file path=xl/ctrlProps/ctrlProp9.xml><?xml version="1.0" encoding="utf-8"?>
<formControlPr xmlns="http://schemas.microsoft.com/office/spreadsheetml/2009/9/main" objectType="CheckBox" fmlaLink="算定基礎!$K$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89647</xdr:colOff>
      <xdr:row>0</xdr:row>
      <xdr:rowOff>114300</xdr:rowOff>
    </xdr:from>
    <xdr:to>
      <xdr:col>39</xdr:col>
      <xdr:colOff>100854</xdr:colOff>
      <xdr:row>2</xdr:row>
      <xdr:rowOff>28575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89647" y="114300"/>
          <a:ext cx="8191501" cy="407334"/>
        </a:xfrm>
        <a:prstGeom prst="rect">
          <a:avLst/>
        </a:prstGeom>
        <a:ln>
          <a:headEnd/>
          <a:tailEnd/>
        </a:ln>
      </xdr:spPr>
      <xdr:style>
        <a:lnRef idx="1">
          <a:schemeClr val="accent1"/>
        </a:lnRef>
        <a:fillRef idx="3">
          <a:schemeClr val="accent1"/>
        </a:fillRef>
        <a:effectRef idx="2">
          <a:schemeClr val="accent1"/>
        </a:effectRef>
        <a:fontRef idx="minor">
          <a:schemeClr val="lt1"/>
        </a:fontRef>
      </xdr:style>
      <xdr:txBody>
        <a:bodyPr vertOverflow="clip" wrap="square" lIns="45720" tIns="22860" rIns="45720" bIns="22860" anchor="ctr" upright="1"/>
        <a:lstStyle/>
        <a:p>
          <a:pPr algn="ctr" rtl="0">
            <a:defRPr sz="1000"/>
          </a:pPr>
          <a:r>
            <a:rPr lang="ja-JP" altLang="en-US" sz="1800" b="0" i="0" u="none" strike="noStrike" baseline="0">
              <a:solidFill>
                <a:srgbClr val="FFFFFF"/>
              </a:solidFill>
              <a:latin typeface="BIZ UDPゴシック" panose="020B0400000000000000" pitchFamily="50" charset="-128"/>
              <a:ea typeface="BIZ UDPゴシック" panose="020B0400000000000000" pitchFamily="50" charset="-128"/>
              <a:cs typeface="メイリオ" pitchFamily="50" charset="-128"/>
            </a:rPr>
            <a:t>令和８年度　福岡市　国民健康保険料の試算シート</a:t>
          </a:r>
        </a:p>
      </xdr:txBody>
    </xdr:sp>
    <xdr:clientData/>
  </xdr:twoCellAnchor>
  <xdr:twoCellAnchor>
    <xdr:from>
      <xdr:col>1</xdr:col>
      <xdr:colOff>0</xdr:colOff>
      <xdr:row>2</xdr:row>
      <xdr:rowOff>123826</xdr:rowOff>
    </xdr:from>
    <xdr:to>
      <xdr:col>39</xdr:col>
      <xdr:colOff>145677</xdr:colOff>
      <xdr:row>3</xdr:row>
      <xdr:rowOff>228600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90500" y="616885"/>
          <a:ext cx="8135471" cy="351303"/>
        </a:xfrm>
        <a:prstGeom prst="rect">
          <a:avLst/>
        </a:prstGeom>
        <a:solidFill>
          <a:srgbClr val="FFFFFF"/>
        </a:solidFill>
        <a:ln w="9525">
          <a:noFill/>
          <a:prstDash val="dash"/>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この計算シートでは、おおよその年間保険料と</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ヶ月あたりの保険料の計算ができます。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133350</xdr:colOff>
      <xdr:row>22</xdr:row>
      <xdr:rowOff>9525</xdr:rowOff>
    </xdr:from>
    <xdr:to>
      <xdr:col>10</xdr:col>
      <xdr:colOff>9525</xdr:colOff>
      <xdr:row>22</xdr:row>
      <xdr:rowOff>238125</xdr:rowOff>
    </xdr:to>
    <xdr:grpSp>
      <xdr:nvGrpSpPr>
        <xdr:cNvPr id="6903" name="Group 11">
          <a:extLst>
            <a:ext uri="{FF2B5EF4-FFF2-40B4-BE49-F238E27FC236}">
              <a16:creationId xmlns:a16="http://schemas.microsoft.com/office/drawing/2014/main" id="{00000000-0008-0000-0000-0000F71A0000}"/>
            </a:ext>
          </a:extLst>
        </xdr:cNvPr>
        <xdr:cNvGrpSpPr>
          <a:grpSpLocks/>
        </xdr:cNvGrpSpPr>
      </xdr:nvGrpSpPr>
      <xdr:grpSpPr bwMode="auto">
        <a:xfrm>
          <a:off x="1699103" y="6990176"/>
          <a:ext cx="293710" cy="228600"/>
          <a:chOff x="135" y="487"/>
          <a:chExt cx="29" cy="24"/>
        </a:xfrm>
      </xdr:grpSpPr>
      <xdr:sp macro="" textlink="">
        <xdr:nvSpPr>
          <xdr:cNvPr id="6924" name="Oval 9">
            <a:extLst>
              <a:ext uri="{FF2B5EF4-FFF2-40B4-BE49-F238E27FC236}">
                <a16:creationId xmlns:a16="http://schemas.microsoft.com/office/drawing/2014/main" id="{00000000-0008-0000-0000-00000C1B0000}"/>
              </a:ext>
            </a:extLst>
          </xdr:cNvPr>
          <xdr:cNvSpPr>
            <a:spLocks noChangeArrowheads="1"/>
          </xdr:cNvSpPr>
        </xdr:nvSpPr>
        <xdr:spPr bwMode="auto">
          <a:xfrm>
            <a:off x="135" y="487"/>
            <a:ext cx="24" cy="24"/>
          </a:xfrm>
          <a:prstGeom prst="ellipse">
            <a:avLst/>
          </a:prstGeom>
          <a:solidFill>
            <a:srgbClr val="000000"/>
          </a:solidFill>
          <a:ln w="9525">
            <a:solidFill>
              <a:srgbClr val="000000"/>
            </a:solidFill>
            <a:round/>
            <a:headEnd/>
            <a:tailEnd/>
          </a:ln>
        </xdr:spPr>
      </xdr:sp>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35" y="487"/>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1</a:t>
            </a:r>
          </a:p>
        </xdr:txBody>
      </xdr:sp>
    </xdr:grpSp>
    <xdr:clientData/>
  </xdr:twoCellAnchor>
  <xdr:twoCellAnchor>
    <xdr:from>
      <xdr:col>15</xdr:col>
      <xdr:colOff>142875</xdr:colOff>
      <xdr:row>22</xdr:row>
      <xdr:rowOff>9525</xdr:rowOff>
    </xdr:from>
    <xdr:to>
      <xdr:col>17</xdr:col>
      <xdr:colOff>19050</xdr:colOff>
      <xdr:row>22</xdr:row>
      <xdr:rowOff>238125</xdr:rowOff>
    </xdr:to>
    <xdr:grpSp>
      <xdr:nvGrpSpPr>
        <xdr:cNvPr id="6904" name="Group 18">
          <a:extLst>
            <a:ext uri="{FF2B5EF4-FFF2-40B4-BE49-F238E27FC236}">
              <a16:creationId xmlns:a16="http://schemas.microsoft.com/office/drawing/2014/main" id="{00000000-0008-0000-0000-0000F81A0000}"/>
            </a:ext>
          </a:extLst>
        </xdr:cNvPr>
        <xdr:cNvGrpSpPr>
          <a:grpSpLocks/>
        </xdr:cNvGrpSpPr>
      </xdr:nvGrpSpPr>
      <xdr:grpSpPr bwMode="auto">
        <a:xfrm>
          <a:off x="3169998" y="6990176"/>
          <a:ext cx="293710" cy="228600"/>
          <a:chOff x="248" y="493"/>
          <a:chExt cx="29" cy="24"/>
        </a:xfrm>
      </xdr:grpSpPr>
      <xdr:sp macro="" textlink="">
        <xdr:nvSpPr>
          <xdr:cNvPr id="6922" name="Oval 13">
            <a:extLst>
              <a:ext uri="{FF2B5EF4-FFF2-40B4-BE49-F238E27FC236}">
                <a16:creationId xmlns:a16="http://schemas.microsoft.com/office/drawing/2014/main" id="{00000000-0008-0000-0000-00000A1B0000}"/>
              </a:ext>
            </a:extLst>
          </xdr:cNvPr>
          <xdr:cNvSpPr>
            <a:spLocks noChangeArrowheads="1"/>
          </xdr:cNvSpPr>
        </xdr:nvSpPr>
        <xdr:spPr bwMode="auto">
          <a:xfrm>
            <a:off x="249" y="493"/>
            <a:ext cx="24" cy="24"/>
          </a:xfrm>
          <a:prstGeom prst="ellipse">
            <a:avLst/>
          </a:prstGeom>
          <a:solidFill>
            <a:srgbClr val="000000"/>
          </a:solidFill>
          <a:ln w="9525">
            <a:solidFill>
              <a:srgbClr val="000000"/>
            </a:solidFill>
            <a:round/>
            <a:headEnd/>
            <a:tailEnd/>
          </a:ln>
        </xdr:spPr>
      </xdr:sp>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248"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2</a:t>
            </a:r>
          </a:p>
        </xdr:txBody>
      </xdr:sp>
    </xdr:grpSp>
    <xdr:clientData/>
  </xdr:twoCellAnchor>
  <xdr:twoCellAnchor>
    <xdr:from>
      <xdr:col>22</xdr:col>
      <xdr:colOff>171450</xdr:colOff>
      <xdr:row>22</xdr:row>
      <xdr:rowOff>9525</xdr:rowOff>
    </xdr:from>
    <xdr:to>
      <xdr:col>24</xdr:col>
      <xdr:colOff>47625</xdr:colOff>
      <xdr:row>22</xdr:row>
      <xdr:rowOff>238125</xdr:rowOff>
    </xdr:to>
    <xdr:grpSp>
      <xdr:nvGrpSpPr>
        <xdr:cNvPr id="6905" name="Group 19">
          <a:extLst>
            <a:ext uri="{FF2B5EF4-FFF2-40B4-BE49-F238E27FC236}">
              <a16:creationId xmlns:a16="http://schemas.microsoft.com/office/drawing/2014/main" id="{00000000-0008-0000-0000-0000F91A0000}"/>
            </a:ext>
          </a:extLst>
        </xdr:cNvPr>
        <xdr:cNvGrpSpPr>
          <a:grpSpLocks/>
        </xdr:cNvGrpSpPr>
      </xdr:nvGrpSpPr>
      <xdr:grpSpPr bwMode="auto">
        <a:xfrm>
          <a:off x="4659943" y="6990176"/>
          <a:ext cx="293709" cy="228600"/>
          <a:chOff x="373" y="493"/>
          <a:chExt cx="29" cy="24"/>
        </a:xfrm>
      </xdr:grpSpPr>
      <xdr:sp macro="" textlink="">
        <xdr:nvSpPr>
          <xdr:cNvPr id="6920" name="Oval 16">
            <a:extLst>
              <a:ext uri="{FF2B5EF4-FFF2-40B4-BE49-F238E27FC236}">
                <a16:creationId xmlns:a16="http://schemas.microsoft.com/office/drawing/2014/main" id="{00000000-0008-0000-0000-0000081B0000}"/>
              </a:ext>
            </a:extLst>
          </xdr:cNvPr>
          <xdr:cNvSpPr>
            <a:spLocks noChangeArrowheads="1"/>
          </xdr:cNvSpPr>
        </xdr:nvSpPr>
        <xdr:spPr bwMode="auto">
          <a:xfrm>
            <a:off x="374" y="493"/>
            <a:ext cx="24" cy="24"/>
          </a:xfrm>
          <a:prstGeom prst="ellipse">
            <a:avLst/>
          </a:prstGeom>
          <a:solidFill>
            <a:srgbClr val="000000"/>
          </a:solidFill>
          <a:ln w="9525">
            <a:solidFill>
              <a:srgbClr val="000000"/>
            </a:solidFill>
            <a:round/>
            <a:headEnd/>
            <a:tailEnd/>
          </a:ln>
        </xdr:spPr>
      </xdr:sp>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373"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3</a:t>
            </a:r>
          </a:p>
        </xdr:txBody>
      </xdr:sp>
    </xdr:grpSp>
    <xdr:clientData/>
  </xdr:twoCellAnchor>
  <xdr:twoCellAnchor>
    <xdr:from>
      <xdr:col>0</xdr:col>
      <xdr:colOff>175981</xdr:colOff>
      <xdr:row>3</xdr:row>
      <xdr:rowOff>493058</xdr:rowOff>
    </xdr:from>
    <xdr:to>
      <xdr:col>10</xdr:col>
      <xdr:colOff>22411</xdr:colOff>
      <xdr:row>5</xdr:row>
      <xdr:rowOff>34177</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75981" y="1232646"/>
          <a:ext cx="1874695" cy="684119"/>
        </a:xfrm>
        <a:prstGeom prst="round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chemeClr val="tx1">
                  <a:lumMod val="75000"/>
                  <a:lumOff val="25000"/>
                </a:schemeClr>
              </a:solidFill>
              <a:latin typeface="BIZ UDPゴシック" panose="020B0400000000000000" pitchFamily="50" charset="-128"/>
              <a:ea typeface="BIZ UDPゴシック" panose="020B0400000000000000" pitchFamily="50" charset="-128"/>
            </a:rPr>
            <a:t>年齢区分</a:t>
          </a:r>
        </a:p>
      </xdr:txBody>
    </xdr:sp>
    <xdr:clientData/>
  </xdr:twoCellAnchor>
  <xdr:twoCellAnchor>
    <xdr:from>
      <xdr:col>0</xdr:col>
      <xdr:colOff>181366</xdr:colOff>
      <xdr:row>5</xdr:row>
      <xdr:rowOff>83484</xdr:rowOff>
    </xdr:from>
    <xdr:to>
      <xdr:col>10</xdr:col>
      <xdr:colOff>7845</xdr:colOff>
      <xdr:row>6</xdr:row>
      <xdr:rowOff>504265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181366" y="1966072"/>
          <a:ext cx="1854744" cy="801781"/>
        </a:xfrm>
        <a:prstGeom prst="roundRect">
          <a:avLst>
            <a:gd name="adj" fmla="val 12474"/>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u="none">
              <a:solidFill>
                <a:schemeClr val="tx1">
                  <a:lumMod val="75000"/>
                  <a:lumOff val="25000"/>
                </a:schemeClr>
              </a:solidFill>
              <a:latin typeface="BIZ UDPゴシック" panose="020B0400000000000000" pitchFamily="50" charset="-128"/>
              <a:ea typeface="BIZ UDPゴシック" panose="020B0400000000000000" pitchFamily="50" charset="-128"/>
              <a:cs typeface="+mn-cs"/>
            </a:rPr>
            <a:t>収入金額等</a:t>
          </a:r>
          <a:endParaRPr lang="ja-JP" altLang="ja-JP" sz="1200" u="none">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180122</xdr:colOff>
      <xdr:row>6</xdr:row>
      <xdr:rowOff>549090</xdr:rowOff>
    </xdr:from>
    <xdr:to>
      <xdr:col>10</xdr:col>
      <xdr:colOff>7844</xdr:colOff>
      <xdr:row>7</xdr:row>
      <xdr:rowOff>666994</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80122" y="2812678"/>
          <a:ext cx="1855987" cy="745434"/>
        </a:xfrm>
        <a:prstGeom prst="roundRect">
          <a:avLst>
            <a:gd name="adj" fmla="val 1366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chemeClr val="tx1">
                  <a:lumMod val="75000"/>
                  <a:lumOff val="25000"/>
                </a:schemeClr>
              </a:solidFill>
              <a:latin typeface="BIZ UDPゴシック" panose="020B0400000000000000" pitchFamily="50" charset="-128"/>
              <a:ea typeface="BIZ UDPゴシック" panose="020B0400000000000000" pitchFamily="50" charset="-128"/>
            </a:rPr>
            <a:t>非自発的失業者</a:t>
          </a:r>
        </a:p>
      </xdr:txBody>
    </xdr:sp>
    <xdr:clientData/>
  </xdr:twoCellAnchor>
  <xdr:twoCellAnchor>
    <xdr:from>
      <xdr:col>10</xdr:col>
      <xdr:colOff>57151</xdr:colOff>
      <xdr:row>3</xdr:row>
      <xdr:rowOff>515471</xdr:rowOff>
    </xdr:from>
    <xdr:to>
      <xdr:col>39</xdr:col>
      <xdr:colOff>89647</xdr:colOff>
      <xdr:row>5</xdr:row>
      <xdr:rowOff>22972</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085416" y="1255059"/>
          <a:ext cx="6184525" cy="650501"/>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lstStyle/>
        <a:p>
          <a:pPr>
            <a:lnSpc>
              <a:spcPts val="1100"/>
            </a:lnSpc>
          </a:pP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加入</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者</a:t>
          </a: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の年齢区分</a:t>
          </a:r>
          <a:r>
            <a:rPr lang="ja-JP" altLang="ja-JP" sz="1000" b="0" i="0" baseline="0">
              <a:solidFill>
                <a:schemeClr val="tx1"/>
              </a:solidFill>
              <a:latin typeface="BIZ UDPゴシック" panose="020B0400000000000000" pitchFamily="50" charset="-128"/>
              <a:ea typeface="BIZ UDPゴシック" panose="020B0400000000000000" pitchFamily="50" charset="-128"/>
              <a:cs typeface="+mn-cs"/>
            </a:rPr>
            <a:t>「</a:t>
          </a:r>
          <a:r>
            <a:rPr lang="ja-JP" altLang="en-US" sz="1000" b="0" i="0" baseline="0">
              <a:solidFill>
                <a:schemeClr val="tx1"/>
              </a:solidFill>
              <a:latin typeface="BIZ UDPゴシック" panose="020B0400000000000000" pitchFamily="50" charset="-128"/>
              <a:ea typeface="BIZ UDPゴシック" panose="020B0400000000000000" pitchFamily="50" charset="-128"/>
              <a:cs typeface="+mn-cs"/>
            </a:rPr>
            <a:t>未就学児」、「小学生から</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中学生</a:t>
          </a: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、「１５歳から１８歳</a:t>
          </a:r>
          <a:r>
            <a:rPr lang="en-US"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高校生年代</a:t>
          </a:r>
          <a:r>
            <a:rPr lang="en-US"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「１９歳から３９歳」、</a:t>
          </a: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「４０歳から６４歳」</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a:t>
          </a: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「６５歳から７４歳」</a:t>
          </a:r>
          <a:r>
            <a:rPr lang="ja-JP" altLang="en-US" sz="1000" b="0" i="0" baseline="0">
              <a:solidFill>
                <a:sysClr val="windowText" lastClr="000000"/>
              </a:solidFill>
              <a:latin typeface="BIZ UDPゴシック" panose="020B0400000000000000" pitchFamily="50" charset="-128"/>
              <a:ea typeface="BIZ UDPゴシック" panose="020B0400000000000000" pitchFamily="50" charset="-128"/>
              <a:cs typeface="+mn-cs"/>
            </a:rPr>
            <a:t>のいずれかを</a:t>
          </a:r>
          <a:r>
            <a:rPr lang="ja-JP" altLang="ja-JP" sz="1000" b="0" i="0" baseline="0">
              <a:solidFill>
                <a:sysClr val="windowText" lastClr="000000"/>
              </a:solidFill>
              <a:latin typeface="BIZ UDPゴシック" panose="020B0400000000000000" pitchFamily="50" charset="-128"/>
              <a:ea typeface="BIZ UDPゴシック" panose="020B0400000000000000" pitchFamily="50" charset="-128"/>
              <a:cs typeface="+mn-cs"/>
            </a:rPr>
            <a:t>選択してください。</a:t>
          </a:r>
          <a:endParaRPr kumimoji="1" lang="ja-JP" altLang="ja-JP" sz="100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36420</xdr:colOff>
      <xdr:row>5</xdr:row>
      <xdr:rowOff>93009</xdr:rowOff>
    </xdr:from>
    <xdr:to>
      <xdr:col>39</xdr:col>
      <xdr:colOff>89648</xdr:colOff>
      <xdr:row>6</xdr:row>
      <xdr:rowOff>515470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64685" y="1975597"/>
          <a:ext cx="6205257" cy="803461"/>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世帯主及び加入者の</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令和</a:t>
          </a:r>
          <a:r>
            <a:rPr lang="en-US" altLang="ja-JP" sz="1000" b="0" i="0" u="none" strike="noStrike" baseline="0">
              <a:solidFill>
                <a:srgbClr val="FF0000"/>
              </a:solidFill>
              <a:latin typeface="BIZ UDPゴシック" panose="020B0400000000000000" pitchFamily="50" charset="-128"/>
              <a:ea typeface="BIZ UDPゴシック" panose="020B0400000000000000" pitchFamily="50" charset="-128"/>
            </a:rPr>
            <a:t>7</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年中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の収入金額等を入力してください。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世帯主は、加入しない場合でも必ず入力してください。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給与・年金については</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収入金額</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を、その他所得（営業、不動産所得等）がある方は</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その他所得</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に入力してください。</a:t>
          </a:r>
        </a:p>
      </xdr:txBody>
    </xdr:sp>
    <xdr:clientData/>
  </xdr:twoCellAnchor>
  <xdr:twoCellAnchor>
    <xdr:from>
      <xdr:col>10</xdr:col>
      <xdr:colOff>36418</xdr:colOff>
      <xdr:row>6</xdr:row>
      <xdr:rowOff>581027</xdr:rowOff>
    </xdr:from>
    <xdr:to>
      <xdr:col>39</xdr:col>
      <xdr:colOff>100853</xdr:colOff>
      <xdr:row>7</xdr:row>
      <xdr:rowOff>683559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2064683" y="2844615"/>
          <a:ext cx="6216464" cy="730062"/>
        </a:xfrm>
        <a:prstGeom prst="roundRect">
          <a:avLst>
            <a:gd name="adj" fmla="val 0"/>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前年中の所得に</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給与所得</a:t>
          </a:r>
          <a:r>
            <a:rPr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rPr>
            <a:t>がある</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方で離職日時点での年齢が</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６４歳以下</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、かつ離職理由が</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倒産</a:t>
          </a:r>
          <a:r>
            <a:rPr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解雇</a:t>
          </a:r>
          <a:r>
            <a:rPr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FF0000"/>
              </a:solidFill>
              <a:latin typeface="BIZ UDPゴシック" panose="020B0400000000000000" pitchFamily="50" charset="-128"/>
              <a:ea typeface="BIZ UDPゴシック" panose="020B0400000000000000" pitchFamily="50" charset="-128"/>
            </a:rPr>
            <a:t>雇い止め</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などによる方は□にチェックを入れてください。</a:t>
          </a:r>
        </a:p>
      </xdr:txBody>
    </xdr:sp>
    <xdr:clientData/>
  </xdr:twoCellAnchor>
  <xdr:twoCellAnchor>
    <xdr:from>
      <xdr:col>0</xdr:col>
      <xdr:colOff>125289</xdr:colOff>
      <xdr:row>45</xdr:row>
      <xdr:rowOff>152402</xdr:rowOff>
    </xdr:from>
    <xdr:to>
      <xdr:col>39</xdr:col>
      <xdr:colOff>142660</xdr:colOff>
      <xdr:row>60</xdr:row>
      <xdr:rowOff>95249</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25289" y="13239752"/>
          <a:ext cx="8085046" cy="3486147"/>
        </a:xfrm>
        <a:prstGeom prst="roundRect">
          <a:avLst>
            <a:gd name="adj" fmla="val 4657"/>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endParaRPr lang="ja-JP" altLang="en-US" sz="1100" b="0" i="0" u="none" strike="noStrike" baseline="0">
            <a:solidFill>
              <a:srgbClr val="333333"/>
            </a:solidFill>
            <a:latin typeface="Calibri"/>
          </a:endParaRPr>
        </a:p>
        <a:p>
          <a:pPr algn="l" rtl="0">
            <a:defRPr sz="1000"/>
          </a:pPr>
          <a:endParaRPr lang="ja-JP" altLang="en-US" sz="1050" b="0" i="0" u="none" strike="noStrike" baseline="0">
            <a:solidFill>
              <a:srgbClr val="333333"/>
            </a:solidFill>
            <a:latin typeface="Calibri"/>
          </a:endParaRPr>
        </a:p>
        <a:p>
          <a:pPr algn="l" rtl="0">
            <a:lnSpc>
              <a:spcPts val="1300"/>
            </a:lnSpc>
            <a:defRPr sz="1000"/>
          </a:pPr>
          <a:r>
            <a:rPr lang="ja-JP" altLang="en-US" sz="1050" b="0" i="0" u="none" strike="noStrike" baseline="0">
              <a:solidFill>
                <a:srgbClr val="FF0000"/>
              </a:solidFill>
              <a:latin typeface="Meiryo UI" panose="020B0604030504040204" pitchFamily="50" charset="-128"/>
              <a:ea typeface="Meiryo UI" panose="020B0604030504040204" pitchFamily="50" charset="-128"/>
            </a:rPr>
            <a:t>※上記結果はあくまでも試算であり、実際の保険料額と異なる場合があります。</a:t>
          </a:r>
          <a:endParaRPr lang="en-US" altLang="ja-JP" sz="105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u="none" strike="noStrike" baseline="0">
              <a:solidFill>
                <a:srgbClr val="FF0000"/>
              </a:solidFill>
              <a:latin typeface="Meiryo UI" panose="020B0604030504040204" pitchFamily="50" charset="-128"/>
              <a:ea typeface="Meiryo UI" panose="020B0604030504040204" pitchFamily="50" charset="-128"/>
            </a:rPr>
            <a:t>　 （特に未就学児にかかる均等割額の減額と多子世帯減免が適用されている世帯で</a:t>
          </a:r>
          <a:r>
            <a:rPr lang="en-US" altLang="ja-JP" sz="1050" b="0" i="0" u="none" strike="noStrike" baseline="0">
              <a:solidFill>
                <a:srgbClr val="FF0000"/>
              </a:solidFill>
              <a:latin typeface="Meiryo UI" panose="020B0604030504040204" pitchFamily="50" charset="-128"/>
              <a:ea typeface="Meiryo UI" panose="020B0604030504040204" pitchFamily="50" charset="-128"/>
            </a:rPr>
            <a:t>100</a:t>
          </a:r>
          <a:r>
            <a:rPr lang="ja-JP" altLang="en-US" sz="1050" b="0" i="0" u="none" strike="noStrike" baseline="0">
              <a:solidFill>
                <a:srgbClr val="FF0000"/>
              </a:solidFill>
              <a:latin typeface="Meiryo UI" panose="020B0604030504040204" pitchFamily="50" charset="-128"/>
              <a:ea typeface="Meiryo UI" panose="020B0604030504040204" pitchFamily="50" charset="-128"/>
            </a:rPr>
            <a:t>円程度異なる場合があります。）</a:t>
          </a: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※年度の途中に</a:t>
          </a:r>
          <a:r>
            <a:rPr lang="ja-JP" altLang="en-US" sz="1050" b="0" i="0" u="sng" strike="noStrike" baseline="0">
              <a:solidFill>
                <a:srgbClr val="333333"/>
              </a:solidFill>
              <a:latin typeface="Meiryo UI" panose="020B0604030504040204" pitchFamily="50" charset="-128"/>
              <a:ea typeface="Meiryo UI" panose="020B0604030504040204" pitchFamily="50" charset="-128"/>
            </a:rPr>
            <a:t>加入者の所得</a:t>
          </a:r>
          <a:r>
            <a:rPr lang="ja-JP" altLang="en-US" sz="1050" b="0" i="0" u="none" strike="noStrike" baseline="0">
              <a:solidFill>
                <a:srgbClr val="333333"/>
              </a:solidFill>
              <a:latin typeface="Meiryo UI" panose="020B0604030504040204" pitchFamily="50" charset="-128"/>
              <a:ea typeface="Meiryo UI" panose="020B0604030504040204" pitchFamily="50" charset="-128"/>
            </a:rPr>
            <a:t>や</a:t>
          </a:r>
          <a:r>
            <a:rPr lang="ja-JP" altLang="en-US" sz="1050" b="0" i="0" u="sng" strike="noStrike" baseline="0">
              <a:solidFill>
                <a:srgbClr val="333333"/>
              </a:solidFill>
              <a:latin typeface="Meiryo UI" panose="020B0604030504040204" pitchFamily="50" charset="-128"/>
              <a:ea typeface="Meiryo UI" panose="020B0604030504040204" pitchFamily="50" charset="-128"/>
            </a:rPr>
            <a:t>加入人数</a:t>
          </a:r>
          <a:r>
            <a:rPr lang="ja-JP" altLang="en-US" sz="1050" b="0" i="0" u="none" strike="noStrike" baseline="0">
              <a:solidFill>
                <a:srgbClr val="333333"/>
              </a:solidFill>
              <a:latin typeface="Meiryo UI" panose="020B0604030504040204" pitchFamily="50" charset="-128"/>
              <a:ea typeface="Meiryo UI" panose="020B0604030504040204" pitchFamily="50" charset="-128"/>
            </a:rPr>
            <a:t>が変わる場合は、このシートでは正しく計算できません。</a:t>
          </a:r>
          <a:endParaRPr lang="en-US" altLang="ja-JP" sz="1050" b="0" i="0" u="none" strike="noStrike" baseline="0">
            <a:solidFill>
              <a:srgbClr val="333333"/>
            </a:solidFill>
            <a:latin typeface="Meiryo UI" panose="020B0604030504040204" pitchFamily="50" charset="-128"/>
            <a:ea typeface="Meiryo UI" panose="020B0604030504040204" pitchFamily="50" charset="-128"/>
          </a:endParaRPr>
        </a:p>
        <a:p>
          <a:pPr algn="l" rtl="0">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※次のいずれかの項目に該当する場合は、このシートでは正しく計算できません。</a:t>
          </a:r>
        </a:p>
        <a:p>
          <a:pPr algn="l" rtl="0">
            <a:lnSpc>
              <a:spcPts val="1500"/>
            </a:lnSpc>
            <a:defRPr sz="1000"/>
          </a:pPr>
          <a:r>
            <a:rPr lang="ja-JP" altLang="en-US" sz="1050" b="0" i="0" u="none" strike="noStrike" baseline="0">
              <a:solidFill>
                <a:srgbClr val="333333"/>
              </a:solidFill>
              <a:latin typeface="Meiryo UI" panose="020B0604030504040204" pitchFamily="50" charset="-128"/>
              <a:ea typeface="Meiryo UI" panose="020B0604030504040204" pitchFamily="50" charset="-128"/>
            </a:rPr>
            <a:t>　</a:t>
          </a: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（１）年度の途中に加入者が４０歳に到達し、介護保険第２号被保険者となる場合</a:t>
          </a:r>
        </a:p>
        <a:p>
          <a:pPr algn="l" rtl="0">
            <a:lnSpc>
              <a:spcPts val="1500"/>
            </a:lnSpc>
            <a:defRPr sz="1000"/>
          </a:pP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（２）年度の途中に加入者が６５歳に到達し、介護保険第２号被保険者でなくなる（介護保険第１号被保険者となる）場合</a:t>
          </a:r>
        </a:p>
        <a:p>
          <a:pPr algn="l" rtl="0">
            <a:lnSpc>
              <a:spcPts val="1500"/>
            </a:lnSpc>
            <a:defRPr sz="1000"/>
          </a:pP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（３）年度の途中に加入者が後期高齢者医療制度に加入し、残った国民健康保険の加入者が１人となる場合</a:t>
          </a:r>
          <a:endParaRPr lang="en-US" altLang="ja-JP"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endParaRPr>
        </a:p>
        <a:p>
          <a:pPr algn="l" rtl="0">
            <a:lnSpc>
              <a:spcPts val="1500"/>
            </a:lnSpc>
            <a:defRPr sz="1000"/>
          </a:pP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　（４）年度の途中に加入者が１９歳に到達する場合</a:t>
          </a:r>
          <a:endPar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endParaRPr>
        </a:p>
        <a:p>
          <a:pPr algn="l" rtl="0">
            <a:lnSpc>
              <a:spcPts val="1500"/>
            </a:lnSpc>
            <a:defRPr sz="1000"/>
          </a:pP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（５）専従者給与がある場合</a:t>
          </a:r>
        </a:p>
        <a:p>
          <a:pPr algn="l" rtl="0">
            <a:lnSpc>
              <a:spcPts val="1500"/>
            </a:lnSpc>
            <a:defRPr sz="1000"/>
          </a:pP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（６）専従者控除を必要経費に算入している場合</a:t>
          </a:r>
        </a:p>
        <a:p>
          <a:pPr algn="l" rtl="0">
            <a:lnSpc>
              <a:spcPts val="1500"/>
            </a:lnSpc>
            <a:defRPr sz="1000"/>
          </a:pPr>
          <a:r>
            <a:rPr lang="ja-JP" altLang="en-US"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（７）総所得金額に分離課税所得（土地・株式等の譲渡所得等）がある場合</a:t>
          </a:r>
          <a:endParaRPr lang="en-US" altLang="ja-JP"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endParaRPr>
        </a:p>
        <a:p>
          <a:pPr algn="l" rtl="0">
            <a:lnSpc>
              <a:spcPts val="1500"/>
            </a:lnSpc>
            <a:defRPr sz="1000"/>
          </a:pPr>
          <a:r>
            <a:rPr lang="en-US" altLang="ja-JP"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rPr>
            <a:t>  </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（８）世帯の合計所得が</a:t>
          </a:r>
          <a:r>
            <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2,400</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万円を超える場合</a:t>
          </a:r>
          <a:endParaRPr lang="en-US" altLang="ja-JP" sz="1050" b="0" i="0" u="none" strike="noStrike" baseline="0">
            <a:solidFill>
              <a:schemeClr val="tx1">
                <a:lumMod val="85000"/>
                <a:lumOff val="1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141653</xdr:colOff>
      <xdr:row>46</xdr:row>
      <xdr:rowOff>179754</xdr:rowOff>
    </xdr:from>
    <xdr:to>
      <xdr:col>3</xdr:col>
      <xdr:colOff>130447</xdr:colOff>
      <xdr:row>48</xdr:row>
      <xdr:rowOff>27353</xdr:rowOff>
    </xdr:to>
    <xdr:pic>
      <xdr:nvPicPr>
        <xdr:cNvPr id="6914" name="図 30" descr="error_mark.gif">
          <a:extLst>
            <a:ext uri="{FF2B5EF4-FFF2-40B4-BE49-F238E27FC236}">
              <a16:creationId xmlns:a16="http://schemas.microsoft.com/office/drawing/2014/main" id="{00000000-0008-0000-0000-000002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038" y="12293600"/>
          <a:ext cx="379563" cy="336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88411</xdr:colOff>
      <xdr:row>46</xdr:row>
      <xdr:rowOff>202223</xdr:rowOff>
    </xdr:from>
    <xdr:ext cx="1104900" cy="275717"/>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74565" y="12316069"/>
          <a:ext cx="11049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200" b="1">
              <a:solidFill>
                <a:srgbClr val="C00000"/>
              </a:solidFill>
              <a:latin typeface="Meiryo UI" panose="020B0604030504040204" pitchFamily="50" charset="-128"/>
              <a:ea typeface="Meiryo UI" panose="020B0604030504040204" pitchFamily="50" charset="-128"/>
            </a:rPr>
            <a:t>注意事項</a:t>
          </a:r>
        </a:p>
      </xdr:txBody>
    </xdr:sp>
    <xdr:clientData/>
  </xdr:oneCellAnchor>
  <xdr:twoCellAnchor>
    <xdr:from>
      <xdr:col>0</xdr:col>
      <xdr:colOff>175931</xdr:colOff>
      <xdr:row>3</xdr:row>
      <xdr:rowOff>159684</xdr:rowOff>
    </xdr:from>
    <xdr:to>
      <xdr:col>16</xdr:col>
      <xdr:colOff>67234</xdr:colOff>
      <xdr:row>3</xdr:row>
      <xdr:rowOff>441512</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175931" y="899272"/>
          <a:ext cx="3197038" cy="281828"/>
        </a:xfrm>
        <a:prstGeom prst="rect">
          <a:avLst/>
        </a:prstGeom>
        <a:solidFill>
          <a:srgbClr val="FFFFFF"/>
        </a:solidFill>
        <a:ln w="9525">
          <a:noFill/>
          <a:prstDash val="dash"/>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必要な項目を入力してください。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7</xdr:col>
          <xdr:colOff>171450</xdr:colOff>
          <xdr:row>9</xdr:row>
          <xdr:rowOff>0</xdr:rowOff>
        </xdr:from>
        <xdr:to>
          <xdr:col>15</xdr:col>
          <xdr:colOff>180975</xdr:colOff>
          <xdr:row>10</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11</xdr:row>
          <xdr:rowOff>0</xdr:rowOff>
        </xdr:from>
        <xdr:to>
          <xdr:col>15</xdr:col>
          <xdr:colOff>171450</xdr:colOff>
          <xdr:row>12</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161925</xdr:colOff>
          <xdr:row>13</xdr:row>
          <xdr:rowOff>0</xdr:rowOff>
        </xdr:from>
        <xdr:to>
          <xdr:col>15</xdr:col>
          <xdr:colOff>171450</xdr:colOff>
          <xdr:row>14</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0</xdr:rowOff>
        </xdr:from>
        <xdr:to>
          <xdr:col>15</xdr:col>
          <xdr:colOff>180975</xdr:colOff>
          <xdr:row>16</xdr:row>
          <xdr:rowOff>0</xdr:rowOff>
        </xdr:to>
        <xdr:sp macro="" textlink="">
          <xdr:nvSpPr>
            <xdr:cNvPr id="1089" name="Drop Dow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0</xdr:rowOff>
        </xdr:from>
        <xdr:to>
          <xdr:col>15</xdr:col>
          <xdr:colOff>180975</xdr:colOff>
          <xdr:row>18</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0</xdr:rowOff>
        </xdr:from>
        <xdr:to>
          <xdr:col>15</xdr:col>
          <xdr:colOff>180975</xdr:colOff>
          <xdr:row>20</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9</xdr:row>
          <xdr:rowOff>9525</xdr:rowOff>
        </xdr:from>
        <xdr:to>
          <xdr:col>39</xdr:col>
          <xdr:colOff>57150</xdr:colOff>
          <xdr:row>9</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13</xdr:row>
          <xdr:rowOff>19050</xdr:rowOff>
        </xdr:from>
        <xdr:to>
          <xdr:col>39</xdr:col>
          <xdr:colOff>57150</xdr:colOff>
          <xdr:row>13</xdr:row>
          <xdr:rowOff>238125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11</xdr:row>
          <xdr:rowOff>19050</xdr:rowOff>
        </xdr:from>
        <xdr:to>
          <xdr:col>39</xdr:col>
          <xdr:colOff>57150</xdr:colOff>
          <xdr:row>11</xdr:row>
          <xdr:rowOff>238125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19</xdr:row>
          <xdr:rowOff>9525</xdr:rowOff>
        </xdr:from>
        <xdr:to>
          <xdr:col>39</xdr:col>
          <xdr:colOff>57150</xdr:colOff>
          <xdr:row>19</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17</xdr:row>
          <xdr:rowOff>9525</xdr:rowOff>
        </xdr:from>
        <xdr:to>
          <xdr:col>39</xdr:col>
          <xdr:colOff>57150</xdr:colOff>
          <xdr:row>17</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15</xdr:row>
          <xdr:rowOff>19050</xdr:rowOff>
        </xdr:from>
        <xdr:to>
          <xdr:col>39</xdr:col>
          <xdr:colOff>57150</xdr:colOff>
          <xdr:row>15</xdr:row>
          <xdr:rowOff>238125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9</xdr:row>
          <xdr:rowOff>9525</xdr:rowOff>
        </xdr:from>
        <xdr:to>
          <xdr:col>7</xdr:col>
          <xdr:colOff>142875</xdr:colOff>
          <xdr:row>9</xdr:row>
          <xdr:rowOff>228600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29</xdr:col>
      <xdr:colOff>73269</xdr:colOff>
      <xdr:row>22</xdr:row>
      <xdr:rowOff>12211</xdr:rowOff>
    </xdr:from>
    <xdr:to>
      <xdr:col>30</xdr:col>
      <xdr:colOff>157040</xdr:colOff>
      <xdr:row>22</xdr:row>
      <xdr:rowOff>240811</xdr:rowOff>
    </xdr:to>
    <xdr:grpSp>
      <xdr:nvGrpSpPr>
        <xdr:cNvPr id="2" name="Group 19">
          <a:extLst>
            <a:ext uri="{FF2B5EF4-FFF2-40B4-BE49-F238E27FC236}">
              <a16:creationId xmlns:a16="http://schemas.microsoft.com/office/drawing/2014/main" id="{00000000-0008-0000-0000-000002000000}"/>
            </a:ext>
          </a:extLst>
        </xdr:cNvPr>
        <xdr:cNvGrpSpPr>
          <a:grpSpLocks/>
        </xdr:cNvGrpSpPr>
      </xdr:nvGrpSpPr>
      <xdr:grpSpPr bwMode="auto">
        <a:xfrm>
          <a:off x="6023132" y="6992862"/>
          <a:ext cx="292538" cy="228600"/>
          <a:chOff x="373" y="493"/>
          <a:chExt cx="29" cy="24"/>
        </a:xfrm>
      </xdr:grpSpPr>
      <xdr:sp macro="" textlink="">
        <xdr:nvSpPr>
          <xdr:cNvPr id="3" name="Oval 16">
            <a:extLst>
              <a:ext uri="{FF2B5EF4-FFF2-40B4-BE49-F238E27FC236}">
                <a16:creationId xmlns:a16="http://schemas.microsoft.com/office/drawing/2014/main" id="{00000000-0008-0000-0000-000003000000}"/>
              </a:ext>
            </a:extLst>
          </xdr:cNvPr>
          <xdr:cNvSpPr>
            <a:spLocks noChangeArrowheads="1"/>
          </xdr:cNvSpPr>
        </xdr:nvSpPr>
        <xdr:spPr bwMode="auto">
          <a:xfrm>
            <a:off x="374" y="493"/>
            <a:ext cx="24" cy="24"/>
          </a:xfrm>
          <a:prstGeom prst="ellipse">
            <a:avLst/>
          </a:prstGeom>
          <a:solidFill>
            <a:srgbClr val="000000"/>
          </a:solidFill>
          <a:ln w="9525">
            <a:solidFill>
              <a:srgbClr val="000000"/>
            </a:solidFill>
            <a:round/>
            <a:headEnd/>
            <a:tailEnd/>
          </a:ln>
        </xdr:spPr>
      </xdr:sp>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373" y="493"/>
            <a:ext cx="29" cy="23"/>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Ｐゴシック"/>
                <a:ea typeface="ＭＳ Ｐゴシック"/>
              </a:rPr>
              <a:t>4</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573942</xdr:colOff>
      <xdr:row>16</xdr:row>
      <xdr:rowOff>232020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710769" y="46648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17</xdr:col>
      <xdr:colOff>183173</xdr:colOff>
      <xdr:row>15</xdr:row>
      <xdr:rowOff>195384</xdr:rowOff>
    </xdr:from>
    <xdr:to>
      <xdr:col>19</xdr:col>
      <xdr:colOff>818173</xdr:colOff>
      <xdr:row>26</xdr:row>
      <xdr:rowOff>122116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3617115" y="4249615"/>
          <a:ext cx="3211635" cy="247894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多子減免と未就学児軽減が重複する場合の多子減免額については、別途「多子減免額（基礎分）」「多子減免額（支援分）」シートで計算している。</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多子減免該当区分については、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例えば中学生以下人数</a:t>
          </a:r>
          <a:r>
            <a:rPr kumimoji="1" lang="ja-JP" altLang="en-US" sz="1100" b="1">
              <a:solidFill>
                <a:srgbClr val="FF0000"/>
              </a:solidFill>
              <a:latin typeface="Meiryo UI" panose="020B0604030504040204" pitchFamily="50" charset="-128"/>
              <a:ea typeface="Meiryo UI" panose="020B0604030504040204" pitchFamily="50" charset="-128"/>
            </a:rPr>
            <a:t>３</a:t>
          </a:r>
          <a:r>
            <a:rPr kumimoji="1" lang="ja-JP" altLang="en-US" sz="1100">
              <a:latin typeface="Meiryo UI" panose="020B0604030504040204" pitchFamily="50" charset="-128"/>
              <a:ea typeface="Meiryo UI" panose="020B0604030504040204" pitchFamily="50" charset="-128"/>
            </a:rPr>
            <a:t>人、小学生～中学生の人数</a:t>
          </a:r>
          <a:r>
            <a:rPr kumimoji="1" lang="ja-JP" altLang="en-US" sz="1100" b="1">
              <a:solidFill>
                <a:srgbClr val="FF0000"/>
              </a:solidFill>
              <a:latin typeface="Meiryo UI" panose="020B0604030504040204" pitchFamily="50" charset="-128"/>
              <a:ea typeface="Meiryo UI" panose="020B0604030504040204" pitchFamily="50" charset="-128"/>
            </a:rPr>
            <a:t>２</a:t>
          </a:r>
          <a:r>
            <a:rPr kumimoji="1" lang="ja-JP" altLang="en-US" sz="1100">
              <a:latin typeface="Meiryo UI" panose="020B0604030504040204" pitchFamily="50" charset="-128"/>
              <a:ea typeface="Meiryo UI" panose="020B0604030504040204" pitchFamily="50" charset="-128"/>
            </a:rPr>
            <a:t>人、未就学人数</a:t>
          </a:r>
          <a:r>
            <a:rPr kumimoji="1" lang="ja-JP" altLang="en-US" sz="1100" b="1">
              <a:solidFill>
                <a:srgbClr val="FF0000"/>
              </a:solidFill>
              <a:latin typeface="Meiryo UI" panose="020B0604030504040204" pitchFamily="50" charset="-128"/>
              <a:ea typeface="Meiryo UI" panose="020B0604030504040204" pitchFamily="50" charset="-128"/>
            </a:rPr>
            <a:t>１</a:t>
          </a:r>
          <a:r>
            <a:rPr kumimoji="1" lang="ja-JP" altLang="en-US" sz="1100">
              <a:latin typeface="Meiryo UI" panose="020B0604030504040204" pitchFamily="50" charset="-128"/>
              <a:ea typeface="Meiryo UI" panose="020B0604030504040204" pitchFamily="50" charset="-128"/>
            </a:rPr>
            <a:t>人であれば「</a:t>
          </a:r>
          <a:r>
            <a:rPr kumimoji="1" lang="en-US" altLang="ja-JP" sz="1100">
              <a:solidFill>
                <a:srgbClr val="FF0000"/>
              </a:solidFill>
              <a:latin typeface="Meiryo UI" panose="020B0604030504040204" pitchFamily="50" charset="-128"/>
              <a:ea typeface="Meiryo UI" panose="020B0604030504040204" pitchFamily="50" charset="-128"/>
            </a:rPr>
            <a:t>321</a:t>
          </a:r>
          <a:r>
            <a:rPr kumimoji="1" lang="ja-JP" altLang="en-US" sz="1100">
              <a:latin typeface="Meiryo UI" panose="020B0604030504040204" pitchFamily="50" charset="-128"/>
              <a:ea typeface="Meiryo UI" panose="020B0604030504040204" pitchFamily="50" charset="-128"/>
            </a:rPr>
            <a:t>」と判定し、その条件にあわせた未就学児軽減適用後の多子減免額を「多子減免額（基礎分）」「多子減免額（支援分）」シートからひろう。</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25</xdr:row>
      <xdr:rowOff>104775</xdr:rowOff>
    </xdr:from>
    <xdr:to>
      <xdr:col>12</xdr:col>
      <xdr:colOff>57150</xdr:colOff>
      <xdr:row>31</xdr:row>
      <xdr:rowOff>133350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53000" y="4705350"/>
          <a:ext cx="28003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世帯内の未就学児軽減の合計金額を計算</a:t>
          </a:r>
          <a:endParaRPr kumimoji="1" lang="en-US" altLang="ja-JP" sz="1100"/>
        </a:p>
        <a:p>
          <a:r>
            <a:rPr kumimoji="1" lang="en-US" altLang="ja-JP" sz="1100"/>
            <a:t>※</a:t>
          </a:r>
          <a:r>
            <a:rPr kumimoji="1" lang="ja-JP" altLang="en-US" sz="1100"/>
            <a:t>未就学児が０人の場合は０円</a:t>
          </a:r>
          <a:endParaRPr kumimoji="1" lang="en-US" altLang="ja-JP" sz="1100"/>
        </a:p>
        <a:p>
          <a:r>
            <a:rPr kumimoji="1" lang="en-US" altLang="ja-JP" sz="1100"/>
            <a:t>※</a:t>
          </a:r>
          <a:r>
            <a:rPr kumimoji="1" lang="ja-JP" altLang="en-US" sz="1100"/>
            <a:t>それ以外は、</a:t>
          </a:r>
          <a:endParaRPr kumimoji="1" lang="en-US" altLang="ja-JP" sz="1100"/>
        </a:p>
        <a:p>
          <a:r>
            <a:rPr kumimoji="1" lang="ja-JP" altLang="en-US" sz="1100"/>
            <a:t>　</a:t>
          </a:r>
          <a:r>
            <a:rPr kumimoji="1" lang="ja-JP" altLang="en-US" sz="1100" baseline="0"/>
            <a:t> </a:t>
          </a:r>
          <a:r>
            <a:rPr kumimoji="1" lang="ja-JP" altLang="en-US" sz="1100"/>
            <a:t>均等割</a:t>
          </a:r>
          <a:r>
            <a:rPr kumimoji="1" lang="en-US" altLang="ja-JP" sz="1100"/>
            <a:t>÷1/2×</a:t>
          </a:r>
          <a:r>
            <a:rPr kumimoji="1" lang="ja-JP" altLang="en-US" sz="1100"/>
            <a:t>未就学児の人数</a:t>
          </a:r>
          <a:endParaRPr kumimoji="1" lang="en-US" altLang="ja-JP" sz="1100"/>
        </a:p>
        <a:p>
          <a:r>
            <a:rPr kumimoji="1" lang="ja-JP" altLang="en-US" sz="1100"/>
            <a:t>　</a:t>
          </a:r>
          <a:r>
            <a:rPr kumimoji="1" lang="ja-JP" altLang="en-US" sz="1100" baseline="0"/>
            <a:t> （</a:t>
          </a:r>
          <a:r>
            <a:rPr kumimoji="1" lang="ja-JP" altLang="en-US" sz="1100"/>
            <a:t>１円未満端数切り上げ）</a:t>
          </a:r>
        </a:p>
      </xdr:txBody>
    </xdr:sp>
    <xdr:clientData/>
  </xdr:twoCellAnchor>
  <xdr:twoCellAnchor>
    <xdr:from>
      <xdr:col>4</xdr:col>
      <xdr:colOff>114300</xdr:colOff>
      <xdr:row>25</xdr:row>
      <xdr:rowOff>85725</xdr:rowOff>
    </xdr:from>
    <xdr:to>
      <xdr:col>7</xdr:col>
      <xdr:colOff>657225</xdr:colOff>
      <xdr:row>30</xdr:row>
      <xdr:rowOff>123824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009775" y="4686300"/>
          <a:ext cx="2800350"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世帯内の子どもの人数に対する</a:t>
          </a:r>
          <a:endParaRPr kumimoji="1" lang="en-US" altLang="ja-JP" sz="1100"/>
        </a:p>
        <a:p>
          <a:r>
            <a:rPr kumimoji="1" lang="ja-JP" altLang="en-US" sz="1100"/>
            <a:t>均等割の合計金額を計算</a:t>
          </a:r>
          <a:endParaRPr kumimoji="1" lang="en-US" altLang="ja-JP" sz="1100"/>
        </a:p>
        <a:p>
          <a:r>
            <a:rPr kumimoji="1" lang="ja-JP" altLang="en-US" sz="1100"/>
            <a:t>（軽減判定区分ごと）</a:t>
          </a:r>
          <a:endParaRPr kumimoji="1" lang="en-US" altLang="ja-JP" sz="1100"/>
        </a:p>
        <a:p>
          <a:r>
            <a:rPr kumimoji="1" lang="en-US" altLang="ja-JP" sz="1100"/>
            <a:t>※B</a:t>
          </a:r>
          <a:r>
            <a:rPr kumimoji="1" lang="ja-JP" altLang="en-US" sz="1100"/>
            <a:t>列の数字が同じであれば同額となる</a:t>
          </a:r>
          <a:endParaRPr kumimoji="1" lang="en-US" altLang="ja-JP" sz="1100"/>
        </a:p>
      </xdr:txBody>
    </xdr:sp>
    <xdr:clientData/>
  </xdr:twoCellAnchor>
  <xdr:twoCellAnchor>
    <xdr:from>
      <xdr:col>4</xdr:col>
      <xdr:colOff>4763</xdr:colOff>
      <xdr:row>21</xdr:row>
      <xdr:rowOff>123827</xdr:rowOff>
    </xdr:from>
    <xdr:to>
      <xdr:col>7</xdr:col>
      <xdr:colOff>742950</xdr:colOff>
      <xdr:row>24</xdr:row>
      <xdr:rowOff>166687</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rot="16200000">
          <a:off x="3119439" y="2819401"/>
          <a:ext cx="557210" cy="29956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21</xdr:row>
      <xdr:rowOff>123825</xdr:rowOff>
    </xdr:from>
    <xdr:to>
      <xdr:col>11</xdr:col>
      <xdr:colOff>628650</xdr:colOff>
      <xdr:row>24</xdr:row>
      <xdr:rowOff>166685</xdr:rowOff>
    </xdr:to>
    <xdr:sp macro="" textlink="">
      <xdr:nvSpPr>
        <xdr:cNvPr id="6" name="左中かっこ 5">
          <a:extLst>
            <a:ext uri="{FF2B5EF4-FFF2-40B4-BE49-F238E27FC236}">
              <a16:creationId xmlns:a16="http://schemas.microsoft.com/office/drawing/2014/main" id="{00000000-0008-0000-0400-000006000000}"/>
            </a:ext>
          </a:extLst>
        </xdr:cNvPr>
        <xdr:cNvSpPr/>
      </xdr:nvSpPr>
      <xdr:spPr>
        <a:xfrm rot="16200000">
          <a:off x="6017420" y="2936080"/>
          <a:ext cx="557210" cy="27622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638175</xdr:colOff>
      <xdr:row>21</xdr:row>
      <xdr:rowOff>133350</xdr:rowOff>
    </xdr:from>
    <xdr:to>
      <xdr:col>16</xdr:col>
      <xdr:colOff>0</xdr:colOff>
      <xdr:row>25</xdr:row>
      <xdr:rowOff>4760</xdr:rowOff>
    </xdr:to>
    <xdr:sp macro="" textlink="">
      <xdr:nvSpPr>
        <xdr:cNvPr id="7" name="左中かっこ 6">
          <a:extLst>
            <a:ext uri="{FF2B5EF4-FFF2-40B4-BE49-F238E27FC236}">
              <a16:creationId xmlns:a16="http://schemas.microsoft.com/office/drawing/2014/main" id="{00000000-0008-0000-0400-000007000000}"/>
            </a:ext>
          </a:extLst>
        </xdr:cNvPr>
        <xdr:cNvSpPr/>
      </xdr:nvSpPr>
      <xdr:spPr>
        <a:xfrm rot="16200000">
          <a:off x="8508208" y="3226592"/>
          <a:ext cx="557210" cy="220027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114301</xdr:colOff>
      <xdr:row>25</xdr:row>
      <xdr:rowOff>114299</xdr:rowOff>
    </xdr:from>
    <xdr:to>
      <xdr:col>17</xdr:col>
      <xdr:colOff>885826</xdr:colOff>
      <xdr:row>33</xdr:row>
      <xdr:rowOff>19050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810501" y="4714874"/>
          <a:ext cx="4248150" cy="1276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ja-JP" sz="1100">
              <a:solidFill>
                <a:schemeClr val="dk1"/>
              </a:solidFill>
              <a:effectLst/>
              <a:latin typeface="+mn-lt"/>
              <a:ea typeface="+mn-ea"/>
              <a:cs typeface="+mn-cs"/>
            </a:rPr>
            <a:t>多子減免額</a:t>
          </a:r>
          <a:r>
            <a:rPr kumimoji="1" lang="ja-JP" altLang="en-US" sz="1100"/>
            <a:t>の計算＞</a:t>
          </a:r>
          <a:endParaRPr kumimoji="1" lang="en-US" altLang="ja-JP" sz="1100"/>
        </a:p>
        <a:p>
          <a:r>
            <a:rPr kumimoji="1" lang="ja-JP" altLang="en-US" sz="1100"/>
            <a:t>世帯内の中学生以下の子が２人以上の場合、第２子の均等割の半額。</a:t>
          </a:r>
          <a:r>
            <a:rPr kumimoji="1" lang="ja-JP" altLang="en-US" sz="1100" u="sng"/>
            <a:t>未就学児軽減を適用している場合は減免しない。</a:t>
          </a:r>
          <a:endParaRPr kumimoji="1" lang="en-US" altLang="ja-JP" sz="1100" u="sng"/>
        </a:p>
        <a:p>
          <a:r>
            <a:rPr kumimoji="1" lang="ja-JP" altLang="en-US" sz="1100"/>
            <a:t>第３子は全額を減免。</a:t>
          </a:r>
          <a:r>
            <a:rPr kumimoji="1" lang="ja-JP" altLang="en-US" sz="1100" u="sng"/>
            <a:t>未就学児軽減を適用している場合は未就学児軽減との差額を減免。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25</xdr:row>
      <xdr:rowOff>104775</xdr:rowOff>
    </xdr:from>
    <xdr:to>
      <xdr:col>12</xdr:col>
      <xdr:colOff>57150</xdr:colOff>
      <xdr:row>31</xdr:row>
      <xdr:rowOff>133350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953000" y="4705350"/>
          <a:ext cx="28003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世帯内の未就学児軽減の合計金額を計算</a:t>
          </a:r>
          <a:endParaRPr kumimoji="1" lang="en-US" altLang="ja-JP" sz="1100"/>
        </a:p>
        <a:p>
          <a:r>
            <a:rPr kumimoji="1" lang="en-US" altLang="ja-JP" sz="1100"/>
            <a:t>※</a:t>
          </a:r>
          <a:r>
            <a:rPr kumimoji="1" lang="ja-JP" altLang="en-US" sz="1100"/>
            <a:t>未就学児が０人の場合は０円</a:t>
          </a:r>
          <a:endParaRPr kumimoji="1" lang="en-US" altLang="ja-JP" sz="1100"/>
        </a:p>
        <a:p>
          <a:r>
            <a:rPr kumimoji="1" lang="en-US" altLang="ja-JP" sz="1100"/>
            <a:t>※</a:t>
          </a:r>
          <a:r>
            <a:rPr kumimoji="1" lang="ja-JP" altLang="en-US" sz="1100"/>
            <a:t>それ以外は、</a:t>
          </a:r>
          <a:endParaRPr kumimoji="1" lang="en-US" altLang="ja-JP" sz="1100"/>
        </a:p>
        <a:p>
          <a:r>
            <a:rPr kumimoji="1" lang="ja-JP" altLang="en-US" sz="1100"/>
            <a:t>　</a:t>
          </a:r>
          <a:r>
            <a:rPr kumimoji="1" lang="ja-JP" altLang="en-US" sz="1100" baseline="0"/>
            <a:t> </a:t>
          </a:r>
          <a:r>
            <a:rPr kumimoji="1" lang="ja-JP" altLang="en-US" sz="1100"/>
            <a:t>均等割</a:t>
          </a:r>
          <a:r>
            <a:rPr kumimoji="1" lang="en-US" altLang="ja-JP" sz="1100"/>
            <a:t>÷1/2×</a:t>
          </a:r>
          <a:r>
            <a:rPr kumimoji="1" lang="ja-JP" altLang="en-US" sz="1100"/>
            <a:t>未就学児の人数</a:t>
          </a:r>
          <a:endParaRPr kumimoji="1" lang="en-US" altLang="ja-JP" sz="1100"/>
        </a:p>
        <a:p>
          <a:r>
            <a:rPr kumimoji="1" lang="ja-JP" altLang="en-US" sz="1100"/>
            <a:t>　</a:t>
          </a:r>
          <a:r>
            <a:rPr kumimoji="1" lang="ja-JP" altLang="en-US" sz="1100" baseline="0"/>
            <a:t> （</a:t>
          </a:r>
          <a:r>
            <a:rPr kumimoji="1" lang="ja-JP" altLang="en-US" sz="1100"/>
            <a:t>１円未満端数切り上げ）</a:t>
          </a:r>
        </a:p>
      </xdr:txBody>
    </xdr:sp>
    <xdr:clientData/>
  </xdr:twoCellAnchor>
  <xdr:twoCellAnchor>
    <xdr:from>
      <xdr:col>4</xdr:col>
      <xdr:colOff>114300</xdr:colOff>
      <xdr:row>25</xdr:row>
      <xdr:rowOff>85725</xdr:rowOff>
    </xdr:from>
    <xdr:to>
      <xdr:col>7</xdr:col>
      <xdr:colOff>657225</xdr:colOff>
      <xdr:row>30</xdr:row>
      <xdr:rowOff>123824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09775" y="4686300"/>
          <a:ext cx="2800350"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世帯内の子どもの人数に対する</a:t>
          </a:r>
          <a:endParaRPr kumimoji="1" lang="en-US" altLang="ja-JP" sz="1100"/>
        </a:p>
        <a:p>
          <a:r>
            <a:rPr kumimoji="1" lang="ja-JP" altLang="en-US" sz="1100"/>
            <a:t>均等割の合計金額を計算</a:t>
          </a:r>
          <a:endParaRPr kumimoji="1" lang="en-US" altLang="ja-JP" sz="1100"/>
        </a:p>
        <a:p>
          <a:r>
            <a:rPr kumimoji="1" lang="ja-JP" altLang="en-US" sz="1100"/>
            <a:t>（軽減判定区分ごと）</a:t>
          </a:r>
          <a:endParaRPr kumimoji="1" lang="en-US" altLang="ja-JP" sz="1100"/>
        </a:p>
        <a:p>
          <a:r>
            <a:rPr kumimoji="1" lang="en-US" altLang="ja-JP" sz="1100"/>
            <a:t>※B</a:t>
          </a:r>
          <a:r>
            <a:rPr kumimoji="1" lang="ja-JP" altLang="en-US" sz="1100"/>
            <a:t>列の数字が同じであれば同じ金額となる</a:t>
          </a:r>
          <a:endParaRPr kumimoji="1" lang="en-US" altLang="ja-JP" sz="1100"/>
        </a:p>
      </xdr:txBody>
    </xdr:sp>
    <xdr:clientData/>
  </xdr:twoCellAnchor>
  <xdr:twoCellAnchor>
    <xdr:from>
      <xdr:col>4</xdr:col>
      <xdr:colOff>4763</xdr:colOff>
      <xdr:row>22</xdr:row>
      <xdr:rowOff>0</xdr:rowOff>
    </xdr:from>
    <xdr:to>
      <xdr:col>7</xdr:col>
      <xdr:colOff>742950</xdr:colOff>
      <xdr:row>24</xdr:row>
      <xdr:rowOff>166687</xdr:rowOff>
    </xdr:to>
    <xdr:sp macro="" textlink="">
      <xdr:nvSpPr>
        <xdr:cNvPr id="4" name="左中かっこ 3">
          <a:extLst>
            <a:ext uri="{FF2B5EF4-FFF2-40B4-BE49-F238E27FC236}">
              <a16:creationId xmlns:a16="http://schemas.microsoft.com/office/drawing/2014/main" id="{00000000-0008-0000-0500-000004000000}"/>
            </a:ext>
          </a:extLst>
        </xdr:cNvPr>
        <xdr:cNvSpPr/>
      </xdr:nvSpPr>
      <xdr:spPr>
        <a:xfrm rot="16200000">
          <a:off x="3119439" y="2819401"/>
          <a:ext cx="557210" cy="29956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22</xdr:row>
      <xdr:rowOff>0</xdr:rowOff>
    </xdr:from>
    <xdr:to>
      <xdr:col>11</xdr:col>
      <xdr:colOff>628650</xdr:colOff>
      <xdr:row>24</xdr:row>
      <xdr:rowOff>166685</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rot="16200000">
          <a:off x="6017420" y="2936080"/>
          <a:ext cx="557210" cy="27622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638175</xdr:colOff>
      <xdr:row>22</xdr:row>
      <xdr:rowOff>0</xdr:rowOff>
    </xdr:from>
    <xdr:to>
      <xdr:col>16</xdr:col>
      <xdr:colOff>0</xdr:colOff>
      <xdr:row>25</xdr:row>
      <xdr:rowOff>4760</xdr:rowOff>
    </xdr:to>
    <xdr:sp macro="" textlink="">
      <xdr:nvSpPr>
        <xdr:cNvPr id="6" name="左中かっこ 5">
          <a:extLst>
            <a:ext uri="{FF2B5EF4-FFF2-40B4-BE49-F238E27FC236}">
              <a16:creationId xmlns:a16="http://schemas.microsoft.com/office/drawing/2014/main" id="{00000000-0008-0000-0500-000006000000}"/>
            </a:ext>
          </a:extLst>
        </xdr:cNvPr>
        <xdr:cNvSpPr/>
      </xdr:nvSpPr>
      <xdr:spPr>
        <a:xfrm rot="16200000">
          <a:off x="8541545" y="3193255"/>
          <a:ext cx="557210" cy="22669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25</xdr:row>
      <xdr:rowOff>114300</xdr:rowOff>
    </xdr:from>
    <xdr:to>
      <xdr:col>19</xdr:col>
      <xdr:colOff>266700</xdr:colOff>
      <xdr:row>33</xdr:row>
      <xdr:rowOff>19051</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7781925" y="4714875"/>
          <a:ext cx="4248150" cy="127635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多子減免額</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の計算＞</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世帯内の中学生以下の子が２人以上の場合、第２子の均等割の半額。</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未就学児軽減を適用している場合は減免しない。</a:t>
          </a:r>
          <a:endParaRPr kumimoji="1" lang="en-US" altLang="ja-JP"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第３子は全額を減免。</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未就学児軽減を適用している場合は未就学児軽減との差額を減免。</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5</xdr:row>
      <xdr:rowOff>76200</xdr:rowOff>
    </xdr:from>
    <xdr:to>
      <xdr:col>9</xdr:col>
      <xdr:colOff>609600</xdr:colOff>
      <xdr:row>47</xdr:row>
      <xdr:rowOff>161926</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t="24724" r="64214" b="4433"/>
        <a:stretch/>
      </xdr:blipFill>
      <xdr:spPr>
        <a:xfrm>
          <a:off x="238125" y="2133600"/>
          <a:ext cx="6543675" cy="7286626"/>
        </a:xfrm>
        <a:prstGeom prst="rect">
          <a:avLst/>
        </a:prstGeom>
      </xdr:spPr>
    </xdr:pic>
    <xdr:clientData/>
  </xdr:twoCellAnchor>
  <xdr:twoCellAnchor>
    <xdr:from>
      <xdr:col>0</xdr:col>
      <xdr:colOff>609601</xdr:colOff>
      <xdr:row>21</xdr:row>
      <xdr:rowOff>28576</xdr:rowOff>
    </xdr:from>
    <xdr:to>
      <xdr:col>2</xdr:col>
      <xdr:colOff>495301</xdr:colOff>
      <xdr:row>24</xdr:row>
      <xdr:rowOff>95250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09601" y="4829176"/>
          <a:ext cx="1257300" cy="581024"/>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485775</xdr:colOff>
      <xdr:row>18</xdr:row>
      <xdr:rowOff>76200</xdr:rowOff>
    </xdr:from>
    <xdr:to>
      <xdr:col>14</xdr:col>
      <xdr:colOff>619125</xdr:colOff>
      <xdr:row>27</xdr:row>
      <xdr:rowOff>152400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7343775" y="3162300"/>
          <a:ext cx="28765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←試算シートの</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・世帯主の加入有無</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・年齢区分</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・非自発的失業者</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については、右クリックすると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でてくる「コントロールの書式設定」で</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算定基礎シートと連携するように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設定されている。</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66676</xdr:colOff>
      <xdr:row>33</xdr:row>
      <xdr:rowOff>0</xdr:rowOff>
    </xdr:from>
    <xdr:to>
      <xdr:col>5</xdr:col>
      <xdr:colOff>190500</xdr:colOff>
      <xdr:row>35</xdr:row>
      <xdr:rowOff>142875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438276" y="6858000"/>
          <a:ext cx="2181224" cy="485775"/>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10</xdr:col>
      <xdr:colOff>371475</xdr:colOff>
      <xdr:row>29</xdr:row>
      <xdr:rowOff>133350</xdr:rowOff>
    </xdr:from>
    <xdr:to>
      <xdr:col>17</xdr:col>
      <xdr:colOff>142304</xdr:colOff>
      <xdr:row>56</xdr:row>
      <xdr:rowOff>66105</xdr:rowOff>
    </xdr:to>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a:stretch>
          <a:fillRect/>
        </a:stretch>
      </xdr:blipFill>
      <xdr:spPr>
        <a:xfrm>
          <a:off x="7229475" y="6305550"/>
          <a:ext cx="4571429" cy="4561905"/>
        </a:xfrm>
        <a:prstGeom prst="rect">
          <a:avLst/>
        </a:prstGeom>
      </xdr:spPr>
    </xdr:pic>
    <xdr:clientData/>
  </xdr:twoCellAnchor>
  <xdr:twoCellAnchor>
    <xdr:from>
      <xdr:col>1</xdr:col>
      <xdr:colOff>590550</xdr:colOff>
      <xdr:row>25</xdr:row>
      <xdr:rowOff>38100</xdr:rowOff>
    </xdr:from>
    <xdr:to>
      <xdr:col>2</xdr:col>
      <xdr:colOff>95250</xdr:colOff>
      <xdr:row>32</xdr:row>
      <xdr:rowOff>66675</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a:off x="1276350" y="5524500"/>
          <a:ext cx="190500" cy="1228725"/>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323850</xdr:colOff>
      <xdr:row>34</xdr:row>
      <xdr:rowOff>85725</xdr:rowOff>
    </xdr:from>
    <xdr:to>
      <xdr:col>10</xdr:col>
      <xdr:colOff>295275</xdr:colOff>
      <xdr:row>34</xdr:row>
      <xdr:rowOff>123825</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V="1">
          <a:off x="3752850" y="7115175"/>
          <a:ext cx="3400425" cy="38100"/>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66FF"/>
    <pageSetUpPr fitToPage="1"/>
  </sheetPr>
  <dimension ref="A2:AU50"/>
  <sheetViews>
    <sheetView showGridLines="0" tabSelected="1" view="pageBreakPreview" zoomScale="73" zoomScaleNormal="100" zoomScaleSheetLayoutView="73" workbookViewId="0">
      <selection activeCell="R10" sqref="R10:V10"/>
    </sheetView>
  </sheetViews>
  <sheetFormatPr defaultColWidth="2.625" defaultRowHeight="20.100000000000001" customHeight="1"/>
  <cols>
    <col min="1" max="1" width="2.5" style="1" customWidth="1"/>
    <col min="2" max="8" width="2.625" style="1" customWidth="1"/>
    <col min="9" max="31" width="2.75" style="1" customWidth="1"/>
    <col min="32" max="36" width="3.125" style="1" customWidth="1"/>
    <col min="37" max="37" width="2.75" style="1" customWidth="1"/>
    <col min="38" max="44" width="2.625" style="1"/>
    <col min="45" max="45" width="5.125" style="1" bestFit="1" customWidth="1"/>
    <col min="46" max="46" width="2.625" style="1"/>
    <col min="47" max="47" width="5.125" style="1" bestFit="1" customWidth="1"/>
    <col min="48" max="48" width="2.625" style="1"/>
    <col min="49" max="49" width="2.875" style="1" bestFit="1" customWidth="1"/>
    <col min="50" max="16384" width="2.625" style="1"/>
  </cols>
  <sheetData>
    <row r="2" spans="1:47" ht="20.100000000000001" customHeight="1">
      <c r="AP2" s="2"/>
    </row>
    <row r="3" spans="1:47" ht="20.100000000000001" customHeight="1">
      <c r="AP3" s="2"/>
    </row>
    <row r="4" spans="1:47" s="5" customFormat="1" ht="60" customHeight="1"/>
    <row r="5" spans="1:47" ht="30" customHeight="1">
      <c r="AP5" s="2"/>
    </row>
    <row r="6" spans="1:47" ht="30" customHeight="1"/>
    <row r="7" spans="1:47" ht="50.1" customHeight="1"/>
    <row r="8" spans="1:47" ht="60" customHeight="1"/>
    <row r="9" spans="1:47" s="124" customFormat="1" ht="27" customHeight="1" thickBot="1">
      <c r="I9" s="310" t="s">
        <v>61</v>
      </c>
      <c r="J9" s="310"/>
      <c r="K9" s="310"/>
      <c r="L9" s="310"/>
      <c r="M9" s="310"/>
      <c r="N9" s="310"/>
      <c r="O9" s="310"/>
      <c r="P9" s="310"/>
      <c r="R9" s="314" t="s">
        <v>37</v>
      </c>
      <c r="S9" s="314"/>
      <c r="T9" s="314"/>
      <c r="U9" s="314"/>
      <c r="V9" s="314"/>
      <c r="W9" s="125"/>
      <c r="X9" s="125"/>
      <c r="Y9" s="314" t="s">
        <v>39</v>
      </c>
      <c r="Z9" s="314"/>
      <c r="AA9" s="314"/>
      <c r="AB9" s="314"/>
      <c r="AC9" s="314"/>
      <c r="AF9" s="314" t="s">
        <v>40</v>
      </c>
      <c r="AG9" s="314"/>
      <c r="AH9" s="314"/>
      <c r="AI9" s="314"/>
      <c r="AJ9" s="314"/>
      <c r="AK9" s="315" t="s">
        <v>65</v>
      </c>
      <c r="AL9" s="316"/>
      <c r="AM9" s="316"/>
      <c r="AN9" s="316"/>
      <c r="AO9" s="123"/>
    </row>
    <row r="10" spans="1:47" s="127" customFormat="1" ht="19.5" customHeight="1">
      <c r="B10" s="133" t="s">
        <v>0</v>
      </c>
      <c r="J10" s="305"/>
      <c r="K10" s="305"/>
      <c r="L10" s="305"/>
      <c r="M10" s="305"/>
      <c r="N10" s="305"/>
      <c r="O10" s="305"/>
      <c r="P10" s="305"/>
      <c r="Q10" s="128"/>
      <c r="R10" s="311"/>
      <c r="S10" s="312"/>
      <c r="T10" s="312"/>
      <c r="U10" s="312"/>
      <c r="V10" s="313"/>
      <c r="W10" s="129" t="s">
        <v>8</v>
      </c>
      <c r="X10" s="130"/>
      <c r="Y10" s="323"/>
      <c r="Z10" s="324"/>
      <c r="AA10" s="324"/>
      <c r="AB10" s="324"/>
      <c r="AC10" s="325"/>
      <c r="AD10" s="127" t="s">
        <v>38</v>
      </c>
      <c r="AF10" s="323"/>
      <c r="AG10" s="324"/>
      <c r="AH10" s="324"/>
      <c r="AI10" s="324"/>
      <c r="AJ10" s="325"/>
      <c r="AK10" s="127" t="s">
        <v>38</v>
      </c>
      <c r="AL10" s="131"/>
      <c r="AM10" s="132"/>
      <c r="AN10" s="126"/>
      <c r="AO10" s="126"/>
      <c r="AP10" s="126"/>
    </row>
    <row r="11" spans="1:47" s="250" customFormat="1" ht="18" customHeight="1" thickBot="1">
      <c r="A11" s="243"/>
      <c r="B11" s="244"/>
      <c r="C11" s="243"/>
      <c r="D11" s="243"/>
      <c r="E11" s="243"/>
      <c r="F11" s="243"/>
      <c r="G11" s="245" t="str">
        <f>IF(AND(算定基礎!A20=1,算定基礎!C20=7),"７５歳以上加入不可","")</f>
        <v/>
      </c>
      <c r="H11" s="243"/>
      <c r="I11" s="134" t="str">
        <f>IF(AND(算定基礎!K3=TRUE,算定基礎!C20&gt;5),"非自発的失業者の対象は６４歳以下です。","")</f>
        <v/>
      </c>
      <c r="J11" s="243"/>
      <c r="K11" s="243"/>
      <c r="L11" s="243"/>
      <c r="M11" s="243"/>
      <c r="N11" s="243"/>
      <c r="O11" s="243"/>
      <c r="P11" s="243"/>
      <c r="Q11" s="246"/>
      <c r="R11" s="135"/>
      <c r="S11" s="135"/>
      <c r="T11" s="135"/>
      <c r="U11" s="135"/>
      <c r="V11" s="135"/>
      <c r="W11" s="135"/>
      <c r="X11" s="247"/>
      <c r="Y11" s="247"/>
      <c r="Z11" s="247"/>
      <c r="AA11" s="247"/>
      <c r="AB11" s="247"/>
      <c r="AC11" s="243"/>
      <c r="AD11" s="243"/>
      <c r="AE11" s="243"/>
      <c r="AF11" s="243"/>
      <c r="AG11" s="243"/>
      <c r="AH11" s="243"/>
      <c r="AI11" s="243"/>
      <c r="AJ11" s="243"/>
      <c r="AK11" s="243"/>
      <c r="AL11" s="248"/>
      <c r="AM11" s="249"/>
      <c r="AN11" s="249"/>
      <c r="AO11" s="249"/>
      <c r="AP11" s="249"/>
      <c r="AQ11" s="243"/>
      <c r="AR11" s="243"/>
      <c r="AS11" s="243"/>
      <c r="AT11" s="243"/>
      <c r="AU11" s="243"/>
    </row>
    <row r="12" spans="1:47" s="4" customFormat="1" ht="20.100000000000001" customHeight="1">
      <c r="A12" s="127"/>
      <c r="B12" s="133" t="s">
        <v>1</v>
      </c>
      <c r="C12" s="127"/>
      <c r="D12" s="127"/>
      <c r="E12" s="127"/>
      <c r="F12" s="127"/>
      <c r="G12" s="127"/>
      <c r="H12" s="127"/>
      <c r="I12" s="127"/>
      <c r="J12" s="305"/>
      <c r="K12" s="305"/>
      <c r="L12" s="305"/>
      <c r="M12" s="305"/>
      <c r="N12" s="305"/>
      <c r="O12" s="305"/>
      <c r="P12" s="305"/>
      <c r="Q12" s="128"/>
      <c r="R12" s="311"/>
      <c r="S12" s="312"/>
      <c r="T12" s="312"/>
      <c r="U12" s="312"/>
      <c r="V12" s="313"/>
      <c r="W12" s="129" t="s">
        <v>8</v>
      </c>
      <c r="X12" s="130"/>
      <c r="Y12" s="320"/>
      <c r="Z12" s="321"/>
      <c r="AA12" s="321"/>
      <c r="AB12" s="321"/>
      <c r="AC12" s="322"/>
      <c r="AD12" s="127" t="s">
        <v>38</v>
      </c>
      <c r="AE12" s="127"/>
      <c r="AF12" s="317"/>
      <c r="AG12" s="318"/>
      <c r="AH12" s="318"/>
      <c r="AI12" s="318"/>
      <c r="AJ12" s="319"/>
      <c r="AK12" s="127" t="s">
        <v>38</v>
      </c>
      <c r="AL12" s="132"/>
      <c r="AM12" s="126"/>
      <c r="AN12" s="126"/>
      <c r="AO12" s="126"/>
      <c r="AP12" s="126"/>
      <c r="AQ12" s="127"/>
      <c r="AR12" s="127"/>
      <c r="AS12" s="127"/>
      <c r="AT12" s="127"/>
      <c r="AU12" s="127"/>
    </row>
    <row r="13" spans="1:47" s="4" customFormat="1" ht="19.5" customHeight="1" thickBot="1">
      <c r="A13" s="127"/>
      <c r="B13" s="133"/>
      <c r="C13" s="127"/>
      <c r="D13" s="127"/>
      <c r="E13" s="127"/>
      <c r="F13" s="127"/>
      <c r="G13" s="127"/>
      <c r="H13" s="127"/>
      <c r="I13" s="134" t="str">
        <f>IF(AND(算定基礎!K4=TRUE,算定基礎!C21&gt;6),"非自発的失業者の対象は６４歳以下です。","")</f>
        <v/>
      </c>
      <c r="J13" s="127"/>
      <c r="K13" s="127"/>
      <c r="L13" s="127"/>
      <c r="M13" s="127"/>
      <c r="N13" s="127"/>
      <c r="O13" s="127"/>
      <c r="P13" s="127"/>
      <c r="Q13" s="128"/>
      <c r="R13" s="135"/>
      <c r="S13" s="135"/>
      <c r="T13" s="135"/>
      <c r="U13" s="135"/>
      <c r="V13" s="135"/>
      <c r="W13" s="135"/>
      <c r="X13" s="135"/>
      <c r="Y13" s="135"/>
      <c r="Z13" s="135"/>
      <c r="AA13" s="135"/>
      <c r="AB13" s="135"/>
      <c r="AC13" s="127"/>
      <c r="AD13" s="127"/>
      <c r="AE13" s="127"/>
      <c r="AF13" s="127"/>
      <c r="AG13" s="127"/>
      <c r="AH13" s="127"/>
      <c r="AI13" s="127"/>
      <c r="AJ13" s="127"/>
      <c r="AK13" s="127"/>
      <c r="AL13" s="132"/>
      <c r="AM13" s="126"/>
      <c r="AN13" s="126"/>
      <c r="AO13" s="126"/>
      <c r="AP13" s="126"/>
      <c r="AQ13" s="127"/>
      <c r="AR13" s="127"/>
      <c r="AS13" s="127"/>
      <c r="AT13" s="127"/>
      <c r="AU13" s="127"/>
    </row>
    <row r="14" spans="1:47" s="4" customFormat="1" ht="20.100000000000001" customHeight="1">
      <c r="A14" s="127"/>
      <c r="B14" s="133" t="s">
        <v>2</v>
      </c>
      <c r="C14" s="127"/>
      <c r="D14" s="127"/>
      <c r="E14" s="127"/>
      <c r="F14" s="127"/>
      <c r="G14" s="127"/>
      <c r="H14" s="127"/>
      <c r="I14" s="127"/>
      <c r="J14" s="305"/>
      <c r="K14" s="305"/>
      <c r="L14" s="305"/>
      <c r="M14" s="305"/>
      <c r="N14" s="305"/>
      <c r="O14" s="305"/>
      <c r="P14" s="305"/>
      <c r="Q14" s="128"/>
      <c r="R14" s="311"/>
      <c r="S14" s="312"/>
      <c r="T14" s="312"/>
      <c r="U14" s="312"/>
      <c r="V14" s="313"/>
      <c r="W14" s="129" t="s">
        <v>8</v>
      </c>
      <c r="X14" s="130"/>
      <c r="Y14" s="320"/>
      <c r="Z14" s="321"/>
      <c r="AA14" s="321"/>
      <c r="AB14" s="321"/>
      <c r="AC14" s="322"/>
      <c r="AD14" s="127" t="s">
        <v>38</v>
      </c>
      <c r="AE14" s="127"/>
      <c r="AF14" s="317"/>
      <c r="AG14" s="318"/>
      <c r="AH14" s="318"/>
      <c r="AI14" s="318"/>
      <c r="AJ14" s="319"/>
      <c r="AK14" s="127" t="s">
        <v>38</v>
      </c>
      <c r="AL14" s="132"/>
      <c r="AM14" s="126"/>
      <c r="AN14" s="126"/>
      <c r="AO14" s="126"/>
      <c r="AP14" s="126"/>
      <c r="AQ14" s="127"/>
      <c r="AR14" s="127"/>
      <c r="AS14" s="127"/>
      <c r="AT14" s="127"/>
      <c r="AU14" s="127"/>
    </row>
    <row r="15" spans="1:47" s="4" customFormat="1" ht="18" customHeight="1" thickBot="1">
      <c r="A15" s="127"/>
      <c r="B15" s="133"/>
      <c r="C15" s="127"/>
      <c r="D15" s="127"/>
      <c r="E15" s="127"/>
      <c r="F15" s="127"/>
      <c r="G15" s="127"/>
      <c r="H15" s="127"/>
      <c r="I15" s="134" t="str">
        <f>IF(AND(算定基礎!K5=TRUE,算定基礎!C22&gt;6),"非自発的失業者の対象は６４歳以下です。","")</f>
        <v/>
      </c>
      <c r="J15" s="127"/>
      <c r="K15" s="127"/>
      <c r="L15" s="127"/>
      <c r="M15" s="127"/>
      <c r="N15" s="127"/>
      <c r="O15" s="127"/>
      <c r="P15" s="127"/>
      <c r="Q15" s="128"/>
      <c r="R15" s="135"/>
      <c r="S15" s="135"/>
      <c r="T15" s="135"/>
      <c r="U15" s="135"/>
      <c r="V15" s="135"/>
      <c r="W15" s="135"/>
      <c r="X15" s="135"/>
      <c r="Y15" s="135"/>
      <c r="Z15" s="135"/>
      <c r="AA15" s="135"/>
      <c r="AB15" s="135"/>
      <c r="AC15" s="127"/>
      <c r="AD15" s="127"/>
      <c r="AE15" s="127"/>
      <c r="AF15" s="127"/>
      <c r="AG15" s="127"/>
      <c r="AH15" s="127"/>
      <c r="AI15" s="127"/>
      <c r="AJ15" s="127"/>
      <c r="AK15" s="127"/>
      <c r="AL15" s="132"/>
      <c r="AM15" s="126"/>
      <c r="AN15" s="126"/>
      <c r="AO15" s="126"/>
      <c r="AP15" s="126"/>
      <c r="AQ15" s="127"/>
      <c r="AR15" s="127"/>
      <c r="AS15" s="127"/>
      <c r="AT15" s="127"/>
      <c r="AU15" s="127"/>
    </row>
    <row r="16" spans="1:47" s="4" customFormat="1" ht="20.100000000000001" customHeight="1">
      <c r="A16" s="127"/>
      <c r="B16" s="133" t="s">
        <v>3</v>
      </c>
      <c r="C16" s="127"/>
      <c r="D16" s="127"/>
      <c r="E16" s="127"/>
      <c r="F16" s="127"/>
      <c r="G16" s="127"/>
      <c r="H16" s="127"/>
      <c r="I16" s="127"/>
      <c r="J16" s="305"/>
      <c r="K16" s="305"/>
      <c r="L16" s="305"/>
      <c r="M16" s="305"/>
      <c r="N16" s="305"/>
      <c r="O16" s="305"/>
      <c r="P16" s="305"/>
      <c r="Q16" s="128"/>
      <c r="R16" s="311"/>
      <c r="S16" s="312"/>
      <c r="T16" s="312"/>
      <c r="U16" s="312"/>
      <c r="V16" s="313"/>
      <c r="W16" s="129" t="s">
        <v>8</v>
      </c>
      <c r="X16" s="130"/>
      <c r="Y16" s="320"/>
      <c r="Z16" s="321"/>
      <c r="AA16" s="321"/>
      <c r="AB16" s="321"/>
      <c r="AC16" s="322"/>
      <c r="AD16" s="127" t="s">
        <v>38</v>
      </c>
      <c r="AE16" s="127"/>
      <c r="AF16" s="317"/>
      <c r="AG16" s="318"/>
      <c r="AH16" s="318"/>
      <c r="AI16" s="318"/>
      <c r="AJ16" s="319"/>
      <c r="AK16" s="127" t="s">
        <v>38</v>
      </c>
      <c r="AL16" s="132"/>
      <c r="AM16" s="126"/>
      <c r="AN16" s="126"/>
      <c r="AO16" s="126"/>
      <c r="AP16" s="126"/>
      <c r="AQ16" s="127"/>
      <c r="AR16" s="127"/>
      <c r="AS16" s="127"/>
      <c r="AT16" s="127"/>
      <c r="AU16" s="127"/>
    </row>
    <row r="17" spans="1:47" s="4" customFormat="1" ht="17.25" customHeight="1" thickBot="1">
      <c r="A17" s="127"/>
      <c r="B17" s="133"/>
      <c r="C17" s="127"/>
      <c r="D17" s="127"/>
      <c r="E17" s="127"/>
      <c r="F17" s="127"/>
      <c r="G17" s="127"/>
      <c r="H17" s="127"/>
      <c r="I17" s="134" t="str">
        <f>IF(AND(算定基礎!K6=TRUE,算定基礎!C23&gt;6),"非自発的失業者の対象は６４歳以下です。","")</f>
        <v/>
      </c>
      <c r="J17" s="127"/>
      <c r="K17" s="127"/>
      <c r="L17" s="127"/>
      <c r="M17" s="127"/>
      <c r="N17" s="127"/>
      <c r="O17" s="127"/>
      <c r="P17" s="127"/>
      <c r="Q17" s="128"/>
      <c r="R17" s="135"/>
      <c r="S17" s="135"/>
      <c r="T17" s="135"/>
      <c r="U17" s="135"/>
      <c r="V17" s="135"/>
      <c r="W17" s="135"/>
      <c r="X17" s="135"/>
      <c r="Y17" s="135"/>
      <c r="Z17" s="135"/>
      <c r="AA17" s="135"/>
      <c r="AB17" s="135"/>
      <c r="AC17" s="127"/>
      <c r="AD17" s="127"/>
      <c r="AE17" s="127"/>
      <c r="AF17" s="127"/>
      <c r="AG17" s="127"/>
      <c r="AH17" s="127"/>
      <c r="AI17" s="127"/>
      <c r="AJ17" s="127"/>
      <c r="AK17" s="127"/>
      <c r="AL17" s="132"/>
      <c r="AM17" s="126"/>
      <c r="AN17" s="126"/>
      <c r="AO17" s="126"/>
      <c r="AP17" s="126"/>
      <c r="AQ17" s="127"/>
      <c r="AR17" s="127"/>
      <c r="AS17" s="127"/>
      <c r="AT17" s="127"/>
      <c r="AU17" s="127"/>
    </row>
    <row r="18" spans="1:47" s="4" customFormat="1" ht="20.100000000000001" customHeight="1">
      <c r="A18" s="127"/>
      <c r="B18" s="133" t="s">
        <v>4</v>
      </c>
      <c r="C18" s="127"/>
      <c r="D18" s="127"/>
      <c r="E18" s="127"/>
      <c r="F18" s="127"/>
      <c r="G18" s="127"/>
      <c r="H18" s="127"/>
      <c r="I18" s="127"/>
      <c r="J18" s="306"/>
      <c r="K18" s="306"/>
      <c r="L18" s="306"/>
      <c r="M18" s="306"/>
      <c r="N18" s="306"/>
      <c r="O18" s="306"/>
      <c r="P18" s="306"/>
      <c r="Q18" s="128"/>
      <c r="R18" s="311"/>
      <c r="S18" s="312"/>
      <c r="T18" s="312"/>
      <c r="U18" s="312"/>
      <c r="V18" s="313"/>
      <c r="W18" s="129" t="s">
        <v>8</v>
      </c>
      <c r="X18" s="130"/>
      <c r="Y18" s="320"/>
      <c r="Z18" s="321"/>
      <c r="AA18" s="321"/>
      <c r="AB18" s="321"/>
      <c r="AC18" s="322"/>
      <c r="AD18" s="127" t="s">
        <v>38</v>
      </c>
      <c r="AE18" s="127"/>
      <c r="AF18" s="317"/>
      <c r="AG18" s="318"/>
      <c r="AH18" s="318"/>
      <c r="AI18" s="318"/>
      <c r="AJ18" s="319"/>
      <c r="AK18" s="127" t="s">
        <v>38</v>
      </c>
      <c r="AL18" s="132"/>
      <c r="AM18" s="126"/>
      <c r="AN18" s="126"/>
      <c r="AO18" s="126"/>
      <c r="AP18" s="126"/>
      <c r="AQ18" s="127"/>
      <c r="AR18" s="127"/>
      <c r="AS18" s="127"/>
      <c r="AT18" s="127"/>
      <c r="AU18" s="127"/>
    </row>
    <row r="19" spans="1:47" s="4" customFormat="1" ht="18" customHeight="1" thickBot="1">
      <c r="A19" s="127"/>
      <c r="B19" s="133"/>
      <c r="C19" s="127"/>
      <c r="D19" s="127"/>
      <c r="E19" s="127"/>
      <c r="F19" s="127"/>
      <c r="G19" s="127"/>
      <c r="H19" s="127"/>
      <c r="I19" s="134" t="str">
        <f>IF(AND(算定基礎!K7=TRUE,算定基礎!C24&gt;6),"非自発的失業者の対象は６４歳以下です。","")</f>
        <v/>
      </c>
      <c r="J19" s="127"/>
      <c r="K19" s="127"/>
      <c r="L19" s="127"/>
      <c r="M19" s="127"/>
      <c r="N19" s="127"/>
      <c r="O19" s="127"/>
      <c r="P19" s="127"/>
      <c r="Q19" s="128"/>
      <c r="R19" s="135"/>
      <c r="S19" s="135"/>
      <c r="T19" s="135"/>
      <c r="U19" s="135"/>
      <c r="V19" s="135"/>
      <c r="W19" s="135"/>
      <c r="X19" s="135"/>
      <c r="Y19" s="135"/>
      <c r="Z19" s="135"/>
      <c r="AA19" s="135"/>
      <c r="AB19" s="135"/>
      <c r="AC19" s="127"/>
      <c r="AD19" s="127"/>
      <c r="AE19" s="127"/>
      <c r="AF19" s="127"/>
      <c r="AG19" s="127"/>
      <c r="AH19" s="127"/>
      <c r="AI19" s="127"/>
      <c r="AJ19" s="127"/>
      <c r="AK19" s="127"/>
      <c r="AL19" s="132"/>
      <c r="AM19" s="126"/>
      <c r="AN19" s="126"/>
      <c r="AO19" s="126"/>
      <c r="AP19" s="126"/>
      <c r="AQ19" s="122"/>
      <c r="AR19" s="127"/>
      <c r="AS19" s="127"/>
      <c r="AT19" s="127"/>
      <c r="AU19" s="127"/>
    </row>
    <row r="20" spans="1:47" s="4" customFormat="1" ht="20.100000000000001" customHeight="1">
      <c r="A20" s="127"/>
      <c r="B20" s="133" t="s">
        <v>5</v>
      </c>
      <c r="C20" s="127"/>
      <c r="D20" s="127"/>
      <c r="E20" s="127"/>
      <c r="F20" s="127"/>
      <c r="G20" s="127"/>
      <c r="H20" s="127"/>
      <c r="I20" s="127"/>
      <c r="J20" s="305"/>
      <c r="K20" s="305"/>
      <c r="L20" s="305"/>
      <c r="M20" s="305"/>
      <c r="N20" s="305"/>
      <c r="O20" s="305"/>
      <c r="P20" s="305"/>
      <c r="Q20" s="128"/>
      <c r="R20" s="311"/>
      <c r="S20" s="312"/>
      <c r="T20" s="312"/>
      <c r="U20" s="312"/>
      <c r="V20" s="313"/>
      <c r="W20" s="129" t="s">
        <v>8</v>
      </c>
      <c r="X20" s="130"/>
      <c r="Y20" s="320"/>
      <c r="Z20" s="321"/>
      <c r="AA20" s="321"/>
      <c r="AB20" s="321"/>
      <c r="AC20" s="322"/>
      <c r="AD20" s="127" t="s">
        <v>38</v>
      </c>
      <c r="AE20" s="127"/>
      <c r="AF20" s="317"/>
      <c r="AG20" s="318"/>
      <c r="AH20" s="318"/>
      <c r="AI20" s="318"/>
      <c r="AJ20" s="319"/>
      <c r="AK20" s="127" t="s">
        <v>38</v>
      </c>
      <c r="AL20" s="132"/>
      <c r="AM20" s="126"/>
      <c r="AN20" s="126"/>
      <c r="AO20" s="126"/>
      <c r="AP20" s="126"/>
      <c r="AQ20" s="127"/>
      <c r="AR20" s="127"/>
      <c r="AS20" s="127"/>
      <c r="AT20" s="127"/>
      <c r="AU20" s="127"/>
    </row>
    <row r="21" spans="1:47" ht="20.25" customHeight="1">
      <c r="A21" s="122"/>
      <c r="B21" s="122"/>
      <c r="C21" s="122"/>
      <c r="D21" s="122"/>
      <c r="E21" s="122"/>
      <c r="F21" s="122"/>
      <c r="G21" s="122"/>
      <c r="H21" s="122"/>
      <c r="I21" s="134" t="str">
        <f>IF(AND(算定基礎!K8=TRUE,算定基礎!C25&gt;6),"非自発的失業者の対象は６４歳以下です。","")</f>
        <v/>
      </c>
      <c r="J21" s="122"/>
      <c r="K21" s="122"/>
      <c r="L21" s="122"/>
      <c r="M21" s="122"/>
      <c r="N21" s="122"/>
      <c r="O21" s="122"/>
      <c r="P21" s="122"/>
      <c r="Q21" s="122"/>
      <c r="R21" s="135"/>
      <c r="S21" s="135"/>
      <c r="T21" s="135"/>
      <c r="U21" s="135"/>
      <c r="V21" s="135"/>
      <c r="W21" s="135"/>
      <c r="X21" s="135"/>
      <c r="Y21" s="135"/>
      <c r="Z21" s="135"/>
      <c r="AA21" s="135"/>
      <c r="AB21" s="135"/>
      <c r="AC21" s="127"/>
      <c r="AD21" s="127"/>
      <c r="AE21" s="127"/>
      <c r="AF21" s="127"/>
      <c r="AG21" s="127"/>
      <c r="AH21" s="127"/>
      <c r="AI21" s="127"/>
      <c r="AJ21" s="127"/>
      <c r="AK21" s="127"/>
      <c r="AL21" s="122"/>
      <c r="AM21" s="122"/>
      <c r="AN21" s="122"/>
      <c r="AO21" s="122"/>
      <c r="AP21" s="122"/>
      <c r="AQ21" s="122"/>
      <c r="AR21" s="122"/>
      <c r="AS21" s="122"/>
      <c r="AT21" s="122"/>
      <c r="AU21" s="122"/>
    </row>
    <row r="22" spans="1:47" ht="6" customHeight="1" thickBot="1"/>
    <row r="23" spans="1:47" ht="30" customHeight="1" thickBot="1">
      <c r="B23" s="302" t="s">
        <v>29</v>
      </c>
      <c r="C23" s="303"/>
      <c r="D23" s="303"/>
      <c r="E23" s="303"/>
      <c r="F23" s="303"/>
      <c r="G23" s="303"/>
      <c r="H23" s="304"/>
      <c r="I23" s="307" t="s">
        <v>69</v>
      </c>
      <c r="J23" s="308"/>
      <c r="K23" s="308"/>
      <c r="L23" s="308"/>
      <c r="M23" s="308"/>
      <c r="N23" s="308"/>
      <c r="O23" s="308"/>
      <c r="P23" s="309" t="s">
        <v>9</v>
      </c>
      <c r="Q23" s="308"/>
      <c r="R23" s="308"/>
      <c r="S23" s="308"/>
      <c r="T23" s="308"/>
      <c r="U23" s="308"/>
      <c r="V23" s="308"/>
      <c r="W23" s="329" t="s">
        <v>31</v>
      </c>
      <c r="X23" s="330"/>
      <c r="Y23" s="330"/>
      <c r="Z23" s="330"/>
      <c r="AA23" s="330"/>
      <c r="AB23" s="330"/>
      <c r="AC23" s="330"/>
      <c r="AD23" s="326" t="s">
        <v>91</v>
      </c>
      <c r="AE23" s="327"/>
      <c r="AF23" s="327"/>
      <c r="AG23" s="327"/>
      <c r="AH23" s="327"/>
      <c r="AI23" s="327"/>
      <c r="AJ23" s="328"/>
      <c r="AK23" s="122"/>
      <c r="AL23" s="122"/>
      <c r="AM23" s="122"/>
      <c r="AN23" s="122"/>
    </row>
    <row r="24" spans="1:47" ht="15.75" customHeight="1">
      <c r="B24" s="122"/>
      <c r="C24" s="122"/>
      <c r="D24" s="122"/>
      <c r="E24" s="122"/>
      <c r="F24" s="122"/>
      <c r="G24" s="122"/>
      <c r="H24" s="122"/>
      <c r="I24" s="136"/>
      <c r="J24" s="136"/>
      <c r="K24" s="137"/>
      <c r="L24" s="138"/>
      <c r="M24" s="136"/>
      <c r="N24" s="136"/>
      <c r="O24" s="136"/>
      <c r="P24" s="136"/>
      <c r="Q24" s="136"/>
      <c r="R24" s="137"/>
      <c r="S24" s="138"/>
      <c r="T24" s="138"/>
      <c r="U24" s="138"/>
      <c r="V24" s="136"/>
      <c r="W24" s="136"/>
      <c r="X24" s="136"/>
      <c r="Y24" s="136"/>
      <c r="Z24" s="138"/>
      <c r="AA24" s="138"/>
      <c r="AB24" s="136"/>
      <c r="AC24" s="138"/>
      <c r="AD24" s="136"/>
      <c r="AE24" s="136"/>
      <c r="AF24" s="139"/>
      <c r="AG24" s="139"/>
      <c r="AH24" s="127"/>
      <c r="AI24" s="127"/>
      <c r="AJ24" s="127"/>
      <c r="AK24" s="127"/>
      <c r="AL24" s="127"/>
      <c r="AM24" s="122"/>
      <c r="AN24" s="122"/>
    </row>
    <row r="25" spans="1:47" ht="30" customHeight="1">
      <c r="B25" s="299" t="s">
        <v>13</v>
      </c>
      <c r="C25" s="300"/>
      <c r="D25" s="300"/>
      <c r="E25" s="300"/>
      <c r="F25" s="300"/>
      <c r="G25" s="300"/>
      <c r="H25" s="301"/>
      <c r="I25" s="293">
        <f>〇計算の詳細!H5</f>
        <v>0</v>
      </c>
      <c r="J25" s="294"/>
      <c r="K25" s="294"/>
      <c r="L25" s="294"/>
      <c r="M25" s="294"/>
      <c r="N25" s="294"/>
      <c r="O25" s="140" t="s">
        <v>8</v>
      </c>
      <c r="P25" s="295">
        <f>〇計算の詳細!H15</f>
        <v>0</v>
      </c>
      <c r="Q25" s="296"/>
      <c r="R25" s="296"/>
      <c r="S25" s="296"/>
      <c r="T25" s="296"/>
      <c r="U25" s="296"/>
      <c r="V25" s="141" t="s">
        <v>30</v>
      </c>
      <c r="W25" s="297">
        <f>〇計算の詳細!H25</f>
        <v>0</v>
      </c>
      <c r="X25" s="298"/>
      <c r="Y25" s="298"/>
      <c r="Z25" s="298"/>
      <c r="AA25" s="298"/>
      <c r="AB25" s="298"/>
      <c r="AC25" s="142" t="s">
        <v>8</v>
      </c>
      <c r="AD25" s="262">
        <f>〇計算の詳細!H35</f>
        <v>0</v>
      </c>
      <c r="AE25" s="263"/>
      <c r="AF25" s="263"/>
      <c r="AG25" s="263"/>
      <c r="AH25" s="263"/>
      <c r="AI25" s="263"/>
      <c r="AJ25" s="143" t="s">
        <v>8</v>
      </c>
      <c r="AK25" s="122"/>
      <c r="AL25" s="122"/>
      <c r="AM25" s="122"/>
      <c r="AN25" s="122"/>
    </row>
    <row r="26" spans="1:47" s="181" customFormat="1" ht="20.100000000000001" customHeight="1">
      <c r="I26" s="289" t="s">
        <v>11</v>
      </c>
      <c r="J26" s="290"/>
      <c r="K26" s="290"/>
      <c r="L26" s="290"/>
      <c r="M26" s="290"/>
      <c r="N26" s="290"/>
      <c r="O26" s="290"/>
      <c r="P26" s="289" t="s">
        <v>11</v>
      </c>
      <c r="Q26" s="290"/>
      <c r="R26" s="290"/>
      <c r="S26" s="290"/>
      <c r="T26" s="290"/>
      <c r="U26" s="290"/>
      <c r="V26" s="290"/>
      <c r="W26" s="289" t="s">
        <v>11</v>
      </c>
      <c r="X26" s="290"/>
      <c r="Y26" s="290"/>
      <c r="Z26" s="290"/>
      <c r="AA26" s="290"/>
      <c r="AB26" s="290"/>
      <c r="AC26" s="291"/>
      <c r="AD26" s="289" t="s">
        <v>11</v>
      </c>
      <c r="AE26" s="290"/>
      <c r="AF26" s="290"/>
      <c r="AG26" s="290"/>
      <c r="AH26" s="290"/>
      <c r="AI26" s="290"/>
      <c r="AJ26" s="291"/>
      <c r="AK26" s="182"/>
    </row>
    <row r="27" spans="1:47" ht="30" customHeight="1">
      <c r="B27" s="299" t="s">
        <v>14</v>
      </c>
      <c r="C27" s="300"/>
      <c r="D27" s="300"/>
      <c r="E27" s="300"/>
      <c r="F27" s="300"/>
      <c r="G27" s="300"/>
      <c r="H27" s="301"/>
      <c r="I27" s="293">
        <f>〇計算の詳細!J5</f>
        <v>19807</v>
      </c>
      <c r="J27" s="294"/>
      <c r="K27" s="294"/>
      <c r="L27" s="294"/>
      <c r="M27" s="294"/>
      <c r="N27" s="294"/>
      <c r="O27" s="140" t="s">
        <v>8</v>
      </c>
      <c r="P27" s="295">
        <f>〇計算の詳細!J15</f>
        <v>10441</v>
      </c>
      <c r="Q27" s="296"/>
      <c r="R27" s="296"/>
      <c r="S27" s="296"/>
      <c r="T27" s="296"/>
      <c r="U27" s="296"/>
      <c r="V27" s="141" t="s">
        <v>8</v>
      </c>
      <c r="W27" s="297">
        <f>〇計算の詳細!J25</f>
        <v>0</v>
      </c>
      <c r="X27" s="298"/>
      <c r="Y27" s="298"/>
      <c r="Z27" s="298"/>
      <c r="AA27" s="298"/>
      <c r="AB27" s="298"/>
      <c r="AC27" s="142" t="s">
        <v>8</v>
      </c>
      <c r="AD27" s="262">
        <f>〇計算の詳細!J35+〇計算の詳細!L35</f>
        <v>1039</v>
      </c>
      <c r="AE27" s="263"/>
      <c r="AF27" s="263"/>
      <c r="AG27" s="263"/>
      <c r="AH27" s="263"/>
      <c r="AI27" s="263"/>
      <c r="AJ27" s="143" t="s">
        <v>8</v>
      </c>
      <c r="AK27" s="122"/>
      <c r="AL27" s="122"/>
      <c r="AM27" s="122"/>
      <c r="AN27" s="122"/>
    </row>
    <row r="28" spans="1:47" s="181" customFormat="1" ht="20.100000000000001" customHeight="1">
      <c r="I28" s="289" t="s">
        <v>34</v>
      </c>
      <c r="J28" s="290"/>
      <c r="K28" s="290"/>
      <c r="L28" s="290"/>
      <c r="M28" s="290"/>
      <c r="N28" s="290"/>
      <c r="O28" s="290"/>
      <c r="P28" s="289" t="s">
        <v>34</v>
      </c>
      <c r="Q28" s="290"/>
      <c r="R28" s="290"/>
      <c r="S28" s="290"/>
      <c r="T28" s="290"/>
      <c r="U28" s="290"/>
      <c r="V28" s="290"/>
      <c r="W28" s="289" t="s">
        <v>11</v>
      </c>
      <c r="X28" s="290"/>
      <c r="Y28" s="290"/>
      <c r="Z28" s="290"/>
      <c r="AA28" s="290"/>
      <c r="AB28" s="290"/>
      <c r="AC28" s="291"/>
      <c r="AD28" s="289" t="s">
        <v>11</v>
      </c>
      <c r="AE28" s="290"/>
      <c r="AF28" s="290"/>
      <c r="AG28" s="290"/>
      <c r="AH28" s="290"/>
      <c r="AI28" s="290"/>
      <c r="AJ28" s="291"/>
      <c r="AK28" s="182"/>
    </row>
    <row r="29" spans="1:47" ht="30" customHeight="1">
      <c r="B29" s="299" t="s">
        <v>70</v>
      </c>
      <c r="C29" s="300"/>
      <c r="D29" s="300"/>
      <c r="E29" s="300"/>
      <c r="F29" s="300"/>
      <c r="G29" s="300"/>
      <c r="H29" s="301"/>
      <c r="I29" s="293">
        <f>〇計算の詳細!K5</f>
        <v>18664</v>
      </c>
      <c r="J29" s="294"/>
      <c r="K29" s="294"/>
      <c r="L29" s="294"/>
      <c r="M29" s="294"/>
      <c r="N29" s="294"/>
      <c r="O29" s="140" t="s">
        <v>8</v>
      </c>
      <c r="P29" s="295">
        <f>〇計算の詳細!K15</f>
        <v>9838</v>
      </c>
      <c r="Q29" s="296"/>
      <c r="R29" s="296"/>
      <c r="S29" s="296"/>
      <c r="T29" s="296"/>
      <c r="U29" s="296"/>
      <c r="V29" s="145" t="s">
        <v>8</v>
      </c>
      <c r="W29" s="297">
        <f>〇計算の詳細!K25</f>
        <v>0</v>
      </c>
      <c r="X29" s="298"/>
      <c r="Y29" s="298"/>
      <c r="Z29" s="298"/>
      <c r="AA29" s="298"/>
      <c r="AB29" s="298"/>
      <c r="AC29" s="142" t="s">
        <v>8</v>
      </c>
      <c r="AD29" s="262">
        <f>〇計算の詳細!M35</f>
        <v>911</v>
      </c>
      <c r="AE29" s="263"/>
      <c r="AF29" s="263"/>
      <c r="AG29" s="263"/>
      <c r="AH29" s="263"/>
      <c r="AI29" s="263"/>
      <c r="AJ29" s="143" t="s">
        <v>8</v>
      </c>
      <c r="AK29" s="122"/>
      <c r="AL29" s="122"/>
      <c r="AM29" s="122"/>
      <c r="AN29" s="122"/>
    </row>
    <row r="30" spans="1:47" s="181" customFormat="1" ht="20.100000000000001" customHeight="1">
      <c r="I30" s="273" t="s">
        <v>168</v>
      </c>
      <c r="J30" s="273"/>
      <c r="K30" s="273"/>
      <c r="L30" s="273"/>
      <c r="M30" s="273"/>
      <c r="N30" s="273"/>
      <c r="O30" s="273"/>
      <c r="P30" s="273" t="s">
        <v>168</v>
      </c>
      <c r="Q30" s="273"/>
      <c r="R30" s="273"/>
      <c r="S30" s="273"/>
      <c r="T30" s="273"/>
      <c r="U30" s="273"/>
      <c r="V30" s="273"/>
      <c r="W30" s="273" t="s">
        <v>168</v>
      </c>
      <c r="X30" s="273"/>
      <c r="Y30" s="273"/>
      <c r="Z30" s="273"/>
      <c r="AA30" s="273"/>
      <c r="AB30" s="273"/>
      <c r="AC30" s="273"/>
      <c r="AD30" s="273" t="s">
        <v>168</v>
      </c>
      <c r="AE30" s="273"/>
      <c r="AF30" s="273"/>
      <c r="AG30" s="273"/>
      <c r="AH30" s="273"/>
      <c r="AI30" s="273"/>
      <c r="AJ30" s="273"/>
    </row>
    <row r="31" spans="1:47" ht="30" customHeight="1">
      <c r="B31" s="267" t="s">
        <v>164</v>
      </c>
      <c r="C31" s="268"/>
      <c r="D31" s="268"/>
      <c r="E31" s="268"/>
      <c r="F31" s="268"/>
      <c r="G31" s="268"/>
      <c r="H31" s="269"/>
      <c r="I31" s="293">
        <f>〇計算の詳細!R5</f>
        <v>26930</v>
      </c>
      <c r="J31" s="294"/>
      <c r="K31" s="294"/>
      <c r="L31" s="294"/>
      <c r="M31" s="294"/>
      <c r="N31" s="294"/>
      <c r="O31" s="140" t="s">
        <v>8</v>
      </c>
      <c r="P31" s="295">
        <f>〇計算の詳細!R15</f>
        <v>14196</v>
      </c>
      <c r="Q31" s="296"/>
      <c r="R31" s="296"/>
      <c r="S31" s="296"/>
      <c r="T31" s="296"/>
      <c r="U31" s="296"/>
      <c r="V31" s="145" t="s">
        <v>8</v>
      </c>
      <c r="W31" s="297">
        <f>〇計算の詳細!P25</f>
        <v>0</v>
      </c>
      <c r="X31" s="298"/>
      <c r="Y31" s="298"/>
      <c r="Z31" s="298"/>
      <c r="AA31" s="298"/>
      <c r="AB31" s="298"/>
      <c r="AC31" s="142" t="s">
        <v>8</v>
      </c>
      <c r="AD31" s="262">
        <f>〇計算の詳細!U35</f>
        <v>1366</v>
      </c>
      <c r="AE31" s="263"/>
      <c r="AF31" s="263"/>
      <c r="AG31" s="263"/>
      <c r="AH31" s="263"/>
      <c r="AI31" s="263"/>
      <c r="AJ31" s="143" t="s">
        <v>8</v>
      </c>
      <c r="AK31" s="122"/>
      <c r="AL31" s="122"/>
      <c r="AM31" s="122"/>
      <c r="AN31" s="122"/>
    </row>
    <row r="32" spans="1:47" s="181" customFormat="1" ht="20.100000000000001" customHeight="1" thickBot="1">
      <c r="B32" s="182"/>
      <c r="C32" s="182"/>
      <c r="D32" s="182"/>
      <c r="E32" s="182"/>
      <c r="F32" s="182"/>
      <c r="G32" s="182"/>
      <c r="H32" s="182"/>
      <c r="I32" s="273" t="s">
        <v>163</v>
      </c>
      <c r="J32" s="273"/>
      <c r="K32" s="273"/>
      <c r="L32" s="273"/>
      <c r="M32" s="273"/>
      <c r="N32" s="273"/>
      <c r="O32" s="273"/>
      <c r="P32" s="273" t="s">
        <v>67</v>
      </c>
      <c r="Q32" s="273"/>
      <c r="R32" s="273"/>
      <c r="S32" s="273"/>
      <c r="T32" s="273"/>
      <c r="U32" s="273"/>
      <c r="V32" s="273"/>
      <c r="W32" s="273" t="s">
        <v>33</v>
      </c>
      <c r="X32" s="273"/>
      <c r="Y32" s="273"/>
      <c r="Z32" s="273"/>
      <c r="AA32" s="273"/>
      <c r="AB32" s="273"/>
      <c r="AC32" s="273"/>
      <c r="AD32" s="273" t="s">
        <v>33</v>
      </c>
      <c r="AE32" s="273"/>
      <c r="AF32" s="273"/>
      <c r="AG32" s="273"/>
      <c r="AH32" s="273"/>
      <c r="AI32" s="273"/>
      <c r="AJ32" s="273"/>
      <c r="AK32" s="183"/>
      <c r="AL32" s="183"/>
      <c r="AM32" s="183"/>
      <c r="AN32" s="182"/>
    </row>
    <row r="33" spans="2:40" ht="34.5" customHeight="1" thickBot="1">
      <c r="B33" s="331" t="s">
        <v>165</v>
      </c>
      <c r="C33" s="303"/>
      <c r="D33" s="303"/>
      <c r="E33" s="303"/>
      <c r="F33" s="303"/>
      <c r="G33" s="303"/>
      <c r="H33" s="304"/>
      <c r="I33" s="334">
        <f>〇計算の詳細!U5</f>
        <v>11500</v>
      </c>
      <c r="J33" s="335"/>
      <c r="K33" s="335"/>
      <c r="L33" s="335"/>
      <c r="M33" s="335"/>
      <c r="N33" s="335"/>
      <c r="O33" s="146" t="s">
        <v>8</v>
      </c>
      <c r="P33" s="332">
        <f>〇計算の詳細!U15</f>
        <v>6000</v>
      </c>
      <c r="Q33" s="333"/>
      <c r="R33" s="333"/>
      <c r="S33" s="333"/>
      <c r="T33" s="333"/>
      <c r="U33" s="333"/>
      <c r="V33" s="147" t="s">
        <v>8</v>
      </c>
      <c r="W33" s="292">
        <f>〇計算の詳細!S25</f>
        <v>0</v>
      </c>
      <c r="X33" s="292"/>
      <c r="Y33" s="292"/>
      <c r="Z33" s="292"/>
      <c r="AA33" s="292"/>
      <c r="AB33" s="292"/>
      <c r="AC33" s="148" t="s">
        <v>32</v>
      </c>
      <c r="AD33" s="271">
        <f>〇計算の詳細!X35</f>
        <v>500</v>
      </c>
      <c r="AE33" s="272"/>
      <c r="AF33" s="272"/>
      <c r="AG33" s="272"/>
      <c r="AH33" s="272"/>
      <c r="AI33" s="272"/>
      <c r="AJ33" s="149" t="s">
        <v>25</v>
      </c>
      <c r="AK33" s="150"/>
      <c r="AL33" s="150"/>
      <c r="AM33" s="151"/>
      <c r="AN33" s="122"/>
    </row>
    <row r="34" spans="2:40" ht="17.25" customHeight="1">
      <c r="B34" s="122"/>
      <c r="C34" s="152"/>
      <c r="D34" s="152"/>
      <c r="E34" s="152"/>
      <c r="F34" s="152"/>
      <c r="G34" s="152"/>
      <c r="H34" s="152"/>
      <c r="I34" s="270"/>
      <c r="J34" s="270"/>
      <c r="K34" s="270"/>
      <c r="L34" s="270"/>
      <c r="M34" s="270"/>
      <c r="N34" s="270"/>
      <c r="O34" s="122"/>
      <c r="P34" s="270"/>
      <c r="Q34" s="270"/>
      <c r="R34" s="270"/>
      <c r="S34" s="270"/>
      <c r="T34" s="270"/>
      <c r="U34" s="270"/>
      <c r="V34" s="122"/>
      <c r="W34" s="270"/>
      <c r="X34" s="270"/>
      <c r="Y34" s="270"/>
      <c r="Z34" s="270"/>
      <c r="AA34" s="270"/>
      <c r="AB34" s="270"/>
      <c r="AC34" s="122"/>
      <c r="AD34" s="270"/>
      <c r="AE34" s="270"/>
      <c r="AF34" s="270"/>
      <c r="AG34" s="270"/>
      <c r="AH34" s="270"/>
      <c r="AI34" s="270"/>
      <c r="AJ34" s="122"/>
      <c r="AK34" s="127"/>
      <c r="AL34" s="127"/>
      <c r="AM34" s="127"/>
      <c r="AN34" s="122"/>
    </row>
    <row r="35" spans="2:40" ht="18" customHeight="1" thickBot="1">
      <c r="B35" s="126" t="s">
        <v>166</v>
      </c>
      <c r="C35" s="153"/>
      <c r="D35" s="154"/>
      <c r="E35" s="154"/>
      <c r="F35" s="154"/>
      <c r="G35" s="154"/>
      <c r="R35" s="122"/>
      <c r="S35" s="122"/>
      <c r="T35" s="122"/>
      <c r="U35" s="122"/>
      <c r="V35" s="122"/>
      <c r="W35" s="122"/>
      <c r="X35" s="122"/>
      <c r="Y35" s="122"/>
      <c r="Z35" s="122"/>
      <c r="AA35" s="122"/>
      <c r="AB35" s="122"/>
      <c r="AC35" s="155" t="s">
        <v>15</v>
      </c>
      <c r="AD35" s="156"/>
      <c r="AE35" s="122"/>
      <c r="AF35" s="157"/>
      <c r="AG35" s="157"/>
      <c r="AH35" s="157"/>
      <c r="AI35" s="157"/>
      <c r="AJ35" s="157"/>
      <c r="AK35" s="157"/>
      <c r="AL35" s="157"/>
      <c r="AM35" s="158"/>
      <c r="AN35" s="122"/>
    </row>
    <row r="36" spans="2:40" ht="18" customHeight="1" thickTop="1">
      <c r="B36" s="159"/>
      <c r="C36" s="256" t="s">
        <v>162</v>
      </c>
      <c r="D36" s="257"/>
      <c r="E36" s="257"/>
      <c r="F36" s="257"/>
      <c r="G36" s="257"/>
      <c r="H36" s="258"/>
      <c r="I36" s="264">
        <f>IF(〇計算の詳細!M5="軽減非該当","非該当",〇計算の詳細!M5)</f>
        <v>7</v>
      </c>
      <c r="J36" s="265"/>
      <c r="K36" s="265"/>
      <c r="L36" s="266"/>
      <c r="R36" s="122"/>
      <c r="S36" s="288" t="s">
        <v>161</v>
      </c>
      <c r="T36" s="288"/>
      <c r="U36" s="288"/>
      <c r="V36" s="288"/>
      <c r="W36" s="288"/>
      <c r="X36" s="288"/>
      <c r="Y36" s="288"/>
      <c r="Z36" s="288"/>
      <c r="AA36" s="288"/>
      <c r="AB36" s="127"/>
      <c r="AC36" s="282">
        <f>I33+P33+W33+AD33</f>
        <v>18000</v>
      </c>
      <c r="AD36" s="283"/>
      <c r="AE36" s="283"/>
      <c r="AF36" s="283"/>
      <c r="AG36" s="283"/>
      <c r="AH36" s="283"/>
      <c r="AI36" s="283"/>
      <c r="AJ36" s="274" t="s">
        <v>8</v>
      </c>
      <c r="AK36" s="151"/>
      <c r="AL36" s="126"/>
      <c r="AM36" s="126"/>
      <c r="AN36" s="122"/>
    </row>
    <row r="37" spans="2:40" ht="18" customHeight="1" thickBot="1">
      <c r="B37" s="159"/>
      <c r="C37" s="256" t="s">
        <v>158</v>
      </c>
      <c r="D37" s="257"/>
      <c r="E37" s="257"/>
      <c r="F37" s="257"/>
      <c r="G37" s="257"/>
      <c r="H37" s="258"/>
      <c r="I37" s="259" t="str">
        <f>IF(算定基礎!K9=0,"非該当","該当")</f>
        <v>非該当</v>
      </c>
      <c r="J37" s="260"/>
      <c r="K37" s="260"/>
      <c r="L37" s="261"/>
      <c r="R37" s="122"/>
      <c r="S37" s="288"/>
      <c r="T37" s="288"/>
      <c r="U37" s="288"/>
      <c r="V37" s="288"/>
      <c r="W37" s="288"/>
      <c r="X37" s="288"/>
      <c r="Y37" s="288"/>
      <c r="Z37" s="288"/>
      <c r="AA37" s="288"/>
      <c r="AB37" s="127"/>
      <c r="AC37" s="284"/>
      <c r="AD37" s="285"/>
      <c r="AE37" s="285"/>
      <c r="AF37" s="285"/>
      <c r="AG37" s="285"/>
      <c r="AH37" s="285"/>
      <c r="AI37" s="285"/>
      <c r="AJ37" s="275"/>
      <c r="AK37" s="151"/>
      <c r="AL37" s="126"/>
      <c r="AM37" s="126"/>
      <c r="AN37" s="122"/>
    </row>
    <row r="38" spans="2:40" ht="18" customHeight="1" thickTop="1">
      <c r="B38" s="159"/>
      <c r="C38" s="256" t="s">
        <v>156</v>
      </c>
      <c r="D38" s="257"/>
      <c r="E38" s="257"/>
      <c r="F38" s="257"/>
      <c r="G38" s="257"/>
      <c r="H38" s="258"/>
      <c r="I38" s="259" t="str">
        <f>IF(COUNTIF(〇計算の詳細!C5:C10,"〇")=0,"非該当","該当")</f>
        <v>非該当</v>
      </c>
      <c r="J38" s="260"/>
      <c r="K38" s="260"/>
      <c r="L38" s="261"/>
      <c r="R38" s="122"/>
      <c r="S38" s="160"/>
      <c r="T38" s="160"/>
      <c r="U38" s="160"/>
      <c r="V38" s="159"/>
      <c r="W38" s="159"/>
      <c r="X38" s="159"/>
      <c r="Y38" s="159"/>
      <c r="Z38" s="159"/>
      <c r="AA38" s="156" t="s">
        <v>36</v>
      </c>
      <c r="AB38" s="122"/>
      <c r="AC38" s="286">
        <f>AC36/12</f>
        <v>1500</v>
      </c>
      <c r="AD38" s="287"/>
      <c r="AE38" s="287"/>
      <c r="AF38" s="287"/>
      <c r="AG38" s="287"/>
      <c r="AH38" s="287"/>
      <c r="AI38" s="287"/>
      <c r="AJ38" s="161" t="s">
        <v>25</v>
      </c>
      <c r="AK38" s="151"/>
      <c r="AL38" s="126"/>
      <c r="AM38" s="126"/>
      <c r="AN38" s="122"/>
    </row>
    <row r="39" spans="2:40" ht="15" customHeight="1">
      <c r="B39" s="159"/>
      <c r="C39" s="256" t="s">
        <v>157</v>
      </c>
      <c r="D39" s="257"/>
      <c r="E39" s="257"/>
      <c r="F39" s="257"/>
      <c r="G39" s="257"/>
      <c r="H39" s="258"/>
      <c r="I39" s="259" t="str">
        <f>IF(〇計算の詳細!Q5=0,"非該当","該当")</f>
        <v>非該当</v>
      </c>
      <c r="J39" s="260"/>
      <c r="K39" s="260"/>
      <c r="L39" s="261"/>
      <c r="M39" s="160"/>
      <c r="N39" s="162"/>
      <c r="O39" s="162"/>
      <c r="P39" s="162"/>
      <c r="Q39" s="122"/>
      <c r="R39" s="122"/>
      <c r="S39" s="160"/>
      <c r="T39" s="160"/>
      <c r="U39" s="160"/>
      <c r="V39" s="160"/>
      <c r="W39" s="160"/>
      <c r="X39" s="160"/>
      <c r="Y39" s="160"/>
      <c r="Z39" s="160"/>
      <c r="AA39" s="127"/>
      <c r="AB39" s="127"/>
      <c r="AC39" s="163"/>
      <c r="AD39" s="164" t="s">
        <v>35</v>
      </c>
      <c r="AE39" s="165"/>
      <c r="AF39" s="166"/>
      <c r="AG39" s="166"/>
      <c r="AH39" s="166"/>
      <c r="AI39" s="166"/>
      <c r="AJ39" s="122"/>
      <c r="AK39" s="126"/>
      <c r="AL39" s="126"/>
      <c r="AM39" s="126"/>
      <c r="AN39" s="122"/>
    </row>
    <row r="40" spans="2:40" ht="11.25" customHeight="1">
      <c r="B40" s="167"/>
      <c r="C40" s="168"/>
      <c r="D40" s="168"/>
      <c r="E40" s="168"/>
      <c r="F40" s="168"/>
      <c r="G40" s="168"/>
      <c r="H40" s="168"/>
      <c r="I40" s="169"/>
      <c r="J40" s="169"/>
      <c r="K40" s="169"/>
      <c r="L40" s="169"/>
      <c r="M40" s="169"/>
      <c r="N40" s="169"/>
      <c r="O40" s="122"/>
      <c r="P40" s="122"/>
      <c r="Q40" s="122"/>
      <c r="R40" s="122"/>
      <c r="S40" s="122"/>
      <c r="T40" s="122"/>
      <c r="U40" s="122"/>
      <c r="V40" s="122"/>
      <c r="W40" s="122"/>
      <c r="X40" s="122"/>
      <c r="Y40" s="122"/>
      <c r="Z40" s="122"/>
      <c r="AA40" s="122"/>
      <c r="AB40" s="127"/>
      <c r="AC40" s="170"/>
      <c r="AD40" s="170"/>
      <c r="AE40" s="170"/>
      <c r="AF40" s="170"/>
      <c r="AG40" s="170"/>
      <c r="AH40" s="170"/>
      <c r="AI40" s="170"/>
      <c r="AJ40" s="151"/>
      <c r="AK40" s="122"/>
      <c r="AL40" s="122"/>
      <c r="AM40" s="122"/>
      <c r="AN40" s="122"/>
    </row>
    <row r="41" spans="2:40" ht="20.100000000000001" customHeight="1" thickBot="1">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row>
    <row r="42" spans="2:40" ht="34.5" customHeight="1" thickBot="1">
      <c r="B42" s="144"/>
      <c r="C42" s="122"/>
      <c r="D42" s="122"/>
      <c r="E42" s="122"/>
      <c r="F42" s="122"/>
      <c r="G42" s="122"/>
      <c r="H42" s="171" t="s">
        <v>194</v>
      </c>
      <c r="I42" s="276">
        <f>算定基礎!F13</f>
        <v>670000</v>
      </c>
      <c r="J42" s="277"/>
      <c r="K42" s="277"/>
      <c r="L42" s="277"/>
      <c r="M42" s="277"/>
      <c r="N42" s="277"/>
      <c r="O42" s="172" t="s">
        <v>8</v>
      </c>
      <c r="P42" s="278">
        <f>算定基礎!F14</f>
        <v>260000</v>
      </c>
      <c r="Q42" s="277"/>
      <c r="R42" s="277"/>
      <c r="S42" s="277"/>
      <c r="T42" s="277"/>
      <c r="U42" s="277"/>
      <c r="V42" s="173" t="s">
        <v>8</v>
      </c>
      <c r="W42" s="279">
        <f>算定基礎!F15</f>
        <v>170000</v>
      </c>
      <c r="X42" s="277"/>
      <c r="Y42" s="277"/>
      <c r="Z42" s="277"/>
      <c r="AA42" s="277"/>
      <c r="AB42" s="277"/>
      <c r="AC42" s="174" t="s">
        <v>25</v>
      </c>
      <c r="AD42" s="280">
        <f>算定基礎!F16</f>
        <v>30000</v>
      </c>
      <c r="AE42" s="281"/>
      <c r="AF42" s="281"/>
      <c r="AG42" s="281"/>
      <c r="AH42" s="281"/>
      <c r="AI42" s="281"/>
      <c r="AJ42" s="175" t="s">
        <v>25</v>
      </c>
      <c r="AK42" s="122"/>
      <c r="AL42" s="122"/>
      <c r="AM42" s="122"/>
      <c r="AN42" s="122"/>
    </row>
    <row r="43" spans="2:40" ht="18" customHeight="1">
      <c r="B43" s="176"/>
      <c r="C43" s="177"/>
      <c r="D43" s="178"/>
      <c r="E43" s="178"/>
      <c r="F43" s="178"/>
      <c r="G43" s="178"/>
      <c r="H43" s="159"/>
      <c r="I43" s="159"/>
      <c r="J43" s="159"/>
      <c r="K43" s="159"/>
      <c r="L43" s="159"/>
      <c r="M43" s="159"/>
      <c r="N43" s="159"/>
      <c r="O43" s="122"/>
      <c r="P43" s="122"/>
      <c r="Q43" s="122"/>
      <c r="R43" s="122"/>
      <c r="S43" s="159"/>
      <c r="T43" s="159"/>
      <c r="U43" s="159"/>
      <c r="V43" s="159"/>
      <c r="W43" s="159"/>
      <c r="X43" s="159"/>
      <c r="Y43" s="159"/>
      <c r="Z43" s="159"/>
      <c r="AA43" s="156"/>
      <c r="AB43" s="122"/>
      <c r="AC43" s="127"/>
      <c r="AD43" s="179"/>
      <c r="AE43" s="179"/>
      <c r="AF43" s="180"/>
      <c r="AG43" s="180"/>
      <c r="AH43" s="180"/>
      <c r="AI43" s="180"/>
      <c r="AJ43" s="127"/>
      <c r="AK43" s="122"/>
      <c r="AL43" s="122"/>
      <c r="AM43" s="122"/>
      <c r="AN43" s="122"/>
    </row>
    <row r="44" spans="2:40" ht="6" customHeight="1">
      <c r="AD44" s="3"/>
    </row>
    <row r="45" spans="2:40" ht="9.9499999999999993" customHeight="1">
      <c r="AD45" s="3"/>
    </row>
    <row r="46" spans="2:40" ht="20.100000000000001" customHeight="1">
      <c r="B46" s="44"/>
      <c r="H46" s="6"/>
      <c r="I46" s="7"/>
      <c r="J46" s="3"/>
      <c r="K46" s="3"/>
      <c r="L46" s="3"/>
      <c r="M46" s="3"/>
      <c r="N46" s="3"/>
      <c r="O46" s="4"/>
      <c r="P46" s="7"/>
      <c r="Q46" s="3"/>
      <c r="R46" s="3"/>
      <c r="S46" s="3"/>
      <c r="T46" s="3"/>
      <c r="U46" s="3"/>
      <c r="V46" s="3"/>
      <c r="W46" s="7"/>
      <c r="X46" s="7"/>
      <c r="Y46" s="7"/>
      <c r="Z46" s="7"/>
      <c r="AA46" s="7"/>
      <c r="AB46" s="7"/>
      <c r="AC46" s="7"/>
      <c r="AD46" s="3"/>
    </row>
    <row r="47" spans="2:40" ht="20.100000000000001" customHeight="1">
      <c r="B47" s="59"/>
      <c r="H47" s="6"/>
      <c r="I47" s="7"/>
      <c r="J47" s="3"/>
      <c r="K47" s="3"/>
      <c r="L47" s="3"/>
      <c r="M47" s="3"/>
      <c r="N47" s="3"/>
      <c r="O47" s="4"/>
      <c r="P47" s="7"/>
      <c r="Q47" s="3"/>
      <c r="R47" s="3"/>
      <c r="S47" s="3"/>
      <c r="T47" s="3"/>
      <c r="U47" s="3"/>
      <c r="V47" s="3"/>
      <c r="W47" s="7"/>
      <c r="X47" s="7"/>
      <c r="Y47" s="7"/>
      <c r="Z47" s="7"/>
      <c r="AA47" s="7"/>
      <c r="AB47" s="7"/>
      <c r="AC47" s="7"/>
      <c r="AD47" s="3"/>
    </row>
    <row r="48" spans="2:40" ht="20.100000000000001" customHeight="1">
      <c r="B48" s="59"/>
    </row>
    <row r="49" spans="2:2" ht="20.100000000000001" customHeight="1">
      <c r="B49" s="59"/>
    </row>
    <row r="50" spans="2:2" ht="6" customHeight="1"/>
  </sheetData>
  <sheetProtection algorithmName="SHA-512" hashValue="TLP7i/blCc2WG59HO021V0cbUmZKgLIraJOn3N8Hmvk9RhN1eI6DnQDyCJtBUdhfEi75hrqtztFL5+99I0/4Cw==" saltValue="DKwuNP7WaoOT+42VanGfgA==" spinCount="100000" sheet="1"/>
  <mergeCells count="95">
    <mergeCell ref="AD30:AJ30"/>
    <mergeCell ref="B29:H29"/>
    <mergeCell ref="B33:H33"/>
    <mergeCell ref="I29:N29"/>
    <mergeCell ref="P29:U29"/>
    <mergeCell ref="W32:AC32"/>
    <mergeCell ref="P33:U33"/>
    <mergeCell ref="I32:O32"/>
    <mergeCell ref="P32:V32"/>
    <mergeCell ref="I33:N33"/>
    <mergeCell ref="AF18:AJ18"/>
    <mergeCell ref="R20:V20"/>
    <mergeCell ref="AF20:AJ20"/>
    <mergeCell ref="W29:AB29"/>
    <mergeCell ref="Y20:AC20"/>
    <mergeCell ref="AD23:AJ23"/>
    <mergeCell ref="AD25:AI25"/>
    <mergeCell ref="AD27:AI27"/>
    <mergeCell ref="AD29:AI29"/>
    <mergeCell ref="AD26:AJ26"/>
    <mergeCell ref="AD28:AJ28"/>
    <mergeCell ref="Y18:AC18"/>
    <mergeCell ref="W23:AC23"/>
    <mergeCell ref="W25:AB25"/>
    <mergeCell ref="W27:AB27"/>
    <mergeCell ref="R18:V18"/>
    <mergeCell ref="AK9:AN9"/>
    <mergeCell ref="AF12:AJ12"/>
    <mergeCell ref="AF14:AJ14"/>
    <mergeCell ref="AF16:AJ16"/>
    <mergeCell ref="R12:V12"/>
    <mergeCell ref="Y12:AC12"/>
    <mergeCell ref="AF10:AJ10"/>
    <mergeCell ref="AF9:AJ9"/>
    <mergeCell ref="Y10:AC10"/>
    <mergeCell ref="Y9:AC9"/>
    <mergeCell ref="Y14:AC14"/>
    <mergeCell ref="Y16:AC16"/>
    <mergeCell ref="I34:N34"/>
    <mergeCell ref="I28:O28"/>
    <mergeCell ref="I9:P9"/>
    <mergeCell ref="R10:V10"/>
    <mergeCell ref="R9:V9"/>
    <mergeCell ref="R14:V14"/>
    <mergeCell ref="R16:V16"/>
    <mergeCell ref="B23:H23"/>
    <mergeCell ref="J10:P10"/>
    <mergeCell ref="J18:P18"/>
    <mergeCell ref="J20:P20"/>
    <mergeCell ref="J12:P12"/>
    <mergeCell ref="I23:O23"/>
    <mergeCell ref="P23:V23"/>
    <mergeCell ref="J16:P16"/>
    <mergeCell ref="J14:P14"/>
    <mergeCell ref="B25:H25"/>
    <mergeCell ref="I25:N25"/>
    <mergeCell ref="B27:H27"/>
    <mergeCell ref="I27:N27"/>
    <mergeCell ref="P25:U25"/>
    <mergeCell ref="I26:O26"/>
    <mergeCell ref="P26:V26"/>
    <mergeCell ref="P27:U27"/>
    <mergeCell ref="W26:AC26"/>
    <mergeCell ref="W28:AC28"/>
    <mergeCell ref="P28:V28"/>
    <mergeCell ref="W33:AB33"/>
    <mergeCell ref="I30:O30"/>
    <mergeCell ref="P30:V30"/>
    <mergeCell ref="W30:AC30"/>
    <mergeCell ref="I31:N31"/>
    <mergeCell ref="P31:U31"/>
    <mergeCell ref="W31:AB31"/>
    <mergeCell ref="I42:N42"/>
    <mergeCell ref="P42:U42"/>
    <mergeCell ref="W42:AB42"/>
    <mergeCell ref="AD42:AI42"/>
    <mergeCell ref="AC36:AI37"/>
    <mergeCell ref="AC38:AI38"/>
    <mergeCell ref="S36:AA37"/>
    <mergeCell ref="C38:H38"/>
    <mergeCell ref="C39:H39"/>
    <mergeCell ref="I38:L38"/>
    <mergeCell ref="I39:L39"/>
    <mergeCell ref="AD31:AI31"/>
    <mergeCell ref="C37:H37"/>
    <mergeCell ref="C36:H36"/>
    <mergeCell ref="I36:L36"/>
    <mergeCell ref="I37:L37"/>
    <mergeCell ref="B31:H31"/>
    <mergeCell ref="P34:U34"/>
    <mergeCell ref="W34:AB34"/>
    <mergeCell ref="AD33:AI33"/>
    <mergeCell ref="AD32:AJ32"/>
    <mergeCell ref="AJ36:AJ37"/>
    <mergeCell ref="AD34:AI34"/>
  </mergeCells>
  <phoneticPr fontId="2"/>
  <conditionalFormatting sqref="I36:L39">
    <cfRule type="cellIs" dxfId="0" priority="1" operator="equal">
      <formula>"非該当"</formula>
    </cfRule>
  </conditionalFormatting>
  <printOptions horizontalCentered="1"/>
  <pageMargins left="0.39370078740157483" right="0.39370078740157483" top="0.39370078740157483" bottom="0.39370078740157483" header="0.70866141732283472" footer="0"/>
  <pageSetup paperSize="9" scale="86" orientation="portrait" r:id="rId1"/>
  <headerFooter alignWithMargins="0">
    <oddHeader>&amp;R&amp;"BIZ UDゴシック,標準"&amp;D</oddHeader>
  </headerFooter>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75" r:id="rId4" name="Drop Down 51">
              <controlPr locked="0" defaultSize="0" autoLine="0" autoPict="0">
                <anchor moveWithCells="1" sizeWithCells="1">
                  <from>
                    <xdr:col>7</xdr:col>
                    <xdr:colOff>171450</xdr:colOff>
                    <xdr:row>9</xdr:row>
                    <xdr:rowOff>0</xdr:rowOff>
                  </from>
                  <to>
                    <xdr:col>15</xdr:col>
                    <xdr:colOff>180975</xdr:colOff>
                    <xdr:row>10</xdr:row>
                    <xdr:rowOff>0</xdr:rowOff>
                  </to>
                </anchor>
              </controlPr>
            </control>
          </mc:Choice>
        </mc:AlternateContent>
        <mc:AlternateContent xmlns:mc="http://schemas.openxmlformats.org/markup-compatibility/2006">
          <mc:Choice Requires="x14">
            <control shapeId="1087" r:id="rId5" name="Drop Down 63">
              <controlPr locked="0" defaultSize="0" autoLine="0" autoPict="0">
                <anchor moveWithCells="1" sizeWithCells="1">
                  <from>
                    <xdr:col>7</xdr:col>
                    <xdr:colOff>161925</xdr:colOff>
                    <xdr:row>11</xdr:row>
                    <xdr:rowOff>0</xdr:rowOff>
                  </from>
                  <to>
                    <xdr:col>15</xdr:col>
                    <xdr:colOff>171450</xdr:colOff>
                    <xdr:row>12</xdr:row>
                    <xdr:rowOff>0</xdr:rowOff>
                  </to>
                </anchor>
              </controlPr>
            </control>
          </mc:Choice>
        </mc:AlternateContent>
        <mc:AlternateContent xmlns:mc="http://schemas.openxmlformats.org/markup-compatibility/2006">
          <mc:Choice Requires="x14">
            <control shapeId="1088" r:id="rId6" name="Drop Down 64">
              <controlPr locked="0" defaultSize="0" autoLine="0" autoPict="0">
                <anchor moveWithCells="1" sizeWithCells="1">
                  <from>
                    <xdr:col>7</xdr:col>
                    <xdr:colOff>161925</xdr:colOff>
                    <xdr:row>13</xdr:row>
                    <xdr:rowOff>0</xdr:rowOff>
                  </from>
                  <to>
                    <xdr:col>15</xdr:col>
                    <xdr:colOff>171450</xdr:colOff>
                    <xdr:row>14</xdr:row>
                    <xdr:rowOff>0</xdr:rowOff>
                  </to>
                </anchor>
              </controlPr>
            </control>
          </mc:Choice>
        </mc:AlternateContent>
        <mc:AlternateContent xmlns:mc="http://schemas.openxmlformats.org/markup-compatibility/2006">
          <mc:Choice Requires="x14">
            <control shapeId="1089" r:id="rId7" name="Drop Down 65">
              <controlPr locked="0" defaultSize="0" autoLine="0" autoPict="0">
                <anchor moveWithCells="1" sizeWithCells="1">
                  <from>
                    <xdr:col>7</xdr:col>
                    <xdr:colOff>171450</xdr:colOff>
                    <xdr:row>15</xdr:row>
                    <xdr:rowOff>0</xdr:rowOff>
                  </from>
                  <to>
                    <xdr:col>15</xdr:col>
                    <xdr:colOff>180975</xdr:colOff>
                    <xdr:row>16</xdr:row>
                    <xdr:rowOff>0</xdr:rowOff>
                  </to>
                </anchor>
              </controlPr>
            </control>
          </mc:Choice>
        </mc:AlternateContent>
        <mc:AlternateContent xmlns:mc="http://schemas.openxmlformats.org/markup-compatibility/2006">
          <mc:Choice Requires="x14">
            <control shapeId="1090" r:id="rId8" name="Drop Down 66">
              <controlPr locked="0" defaultSize="0" autoLine="0" autoPict="0">
                <anchor moveWithCells="1" sizeWithCells="1">
                  <from>
                    <xdr:col>7</xdr:col>
                    <xdr:colOff>171450</xdr:colOff>
                    <xdr:row>17</xdr:row>
                    <xdr:rowOff>0</xdr:rowOff>
                  </from>
                  <to>
                    <xdr:col>15</xdr:col>
                    <xdr:colOff>180975</xdr:colOff>
                    <xdr:row>18</xdr:row>
                    <xdr:rowOff>0</xdr:rowOff>
                  </to>
                </anchor>
              </controlPr>
            </control>
          </mc:Choice>
        </mc:AlternateContent>
        <mc:AlternateContent xmlns:mc="http://schemas.openxmlformats.org/markup-compatibility/2006">
          <mc:Choice Requires="x14">
            <control shapeId="1091" r:id="rId9" name="Drop Down 67">
              <controlPr locked="0" defaultSize="0" autoLine="0" autoPict="0">
                <anchor moveWithCells="1" sizeWithCells="1">
                  <from>
                    <xdr:col>7</xdr:col>
                    <xdr:colOff>171450</xdr:colOff>
                    <xdr:row>19</xdr:row>
                    <xdr:rowOff>0</xdr:rowOff>
                  </from>
                  <to>
                    <xdr:col>15</xdr:col>
                    <xdr:colOff>180975</xdr:colOff>
                    <xdr:row>20</xdr:row>
                    <xdr:rowOff>0</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37</xdr:col>
                    <xdr:colOff>152400</xdr:colOff>
                    <xdr:row>9</xdr:row>
                    <xdr:rowOff>9525</xdr:rowOff>
                  </from>
                  <to>
                    <xdr:col>39</xdr:col>
                    <xdr:colOff>57150</xdr:colOff>
                    <xdr:row>9</xdr:row>
                    <xdr:rowOff>228600</xdr:rowOff>
                  </to>
                </anchor>
              </controlPr>
            </control>
          </mc:Choice>
        </mc:AlternateContent>
        <mc:AlternateContent xmlns:mc="http://schemas.openxmlformats.org/markup-compatibility/2006">
          <mc:Choice Requires="x14">
            <control shapeId="1096" r:id="rId11" name="Check Box 72">
              <controlPr defaultSize="0" autoFill="0" autoLine="0" autoPict="0">
                <anchor moveWithCells="1">
                  <from>
                    <xdr:col>37</xdr:col>
                    <xdr:colOff>152400</xdr:colOff>
                    <xdr:row>13</xdr:row>
                    <xdr:rowOff>19050</xdr:rowOff>
                  </from>
                  <to>
                    <xdr:col>39</xdr:col>
                    <xdr:colOff>57150</xdr:colOff>
                    <xdr:row>13</xdr:row>
                    <xdr:rowOff>238125</xdr:rowOff>
                  </to>
                </anchor>
              </controlPr>
            </control>
          </mc:Choice>
        </mc:AlternateContent>
        <mc:AlternateContent xmlns:mc="http://schemas.openxmlformats.org/markup-compatibility/2006">
          <mc:Choice Requires="x14">
            <control shapeId="1097" r:id="rId12" name="Check Box 73">
              <controlPr defaultSize="0" autoFill="0" autoLine="0" autoPict="0">
                <anchor moveWithCells="1">
                  <from>
                    <xdr:col>37</xdr:col>
                    <xdr:colOff>152400</xdr:colOff>
                    <xdr:row>11</xdr:row>
                    <xdr:rowOff>19050</xdr:rowOff>
                  </from>
                  <to>
                    <xdr:col>39</xdr:col>
                    <xdr:colOff>57150</xdr:colOff>
                    <xdr:row>11</xdr:row>
                    <xdr:rowOff>238125</xdr:rowOff>
                  </to>
                </anchor>
              </controlPr>
            </control>
          </mc:Choice>
        </mc:AlternateContent>
        <mc:AlternateContent xmlns:mc="http://schemas.openxmlformats.org/markup-compatibility/2006">
          <mc:Choice Requires="x14">
            <control shapeId="1098" r:id="rId13" name="Check Box 74">
              <controlPr defaultSize="0" autoFill="0" autoLine="0" autoPict="0">
                <anchor moveWithCells="1">
                  <from>
                    <xdr:col>37</xdr:col>
                    <xdr:colOff>152400</xdr:colOff>
                    <xdr:row>19</xdr:row>
                    <xdr:rowOff>9525</xdr:rowOff>
                  </from>
                  <to>
                    <xdr:col>39</xdr:col>
                    <xdr:colOff>57150</xdr:colOff>
                    <xdr:row>19</xdr:row>
                    <xdr:rowOff>228600</xdr:rowOff>
                  </to>
                </anchor>
              </controlPr>
            </control>
          </mc:Choice>
        </mc:AlternateContent>
        <mc:AlternateContent xmlns:mc="http://schemas.openxmlformats.org/markup-compatibility/2006">
          <mc:Choice Requires="x14">
            <control shapeId="1099" r:id="rId14" name="Check Box 75">
              <controlPr defaultSize="0" autoFill="0" autoLine="0" autoPict="0">
                <anchor moveWithCells="1">
                  <from>
                    <xdr:col>37</xdr:col>
                    <xdr:colOff>152400</xdr:colOff>
                    <xdr:row>17</xdr:row>
                    <xdr:rowOff>9525</xdr:rowOff>
                  </from>
                  <to>
                    <xdr:col>39</xdr:col>
                    <xdr:colOff>57150</xdr:colOff>
                    <xdr:row>17</xdr:row>
                    <xdr:rowOff>228600</xdr:rowOff>
                  </to>
                </anchor>
              </controlPr>
            </control>
          </mc:Choice>
        </mc:AlternateContent>
        <mc:AlternateContent xmlns:mc="http://schemas.openxmlformats.org/markup-compatibility/2006">
          <mc:Choice Requires="x14">
            <control shapeId="1100" r:id="rId15" name="Check Box 76">
              <controlPr defaultSize="0" autoFill="0" autoLine="0" autoPict="0">
                <anchor moveWithCells="1">
                  <from>
                    <xdr:col>37</xdr:col>
                    <xdr:colOff>152400</xdr:colOff>
                    <xdr:row>15</xdr:row>
                    <xdr:rowOff>19050</xdr:rowOff>
                  </from>
                  <to>
                    <xdr:col>39</xdr:col>
                    <xdr:colOff>57150</xdr:colOff>
                    <xdr:row>15</xdr:row>
                    <xdr:rowOff>238125</xdr:rowOff>
                  </to>
                </anchor>
              </controlPr>
            </control>
          </mc:Choice>
        </mc:AlternateContent>
        <mc:AlternateContent xmlns:mc="http://schemas.openxmlformats.org/markup-compatibility/2006">
          <mc:Choice Requires="x14">
            <control shapeId="1102" r:id="rId16" name="Drop Down 78">
              <controlPr locked="0" defaultSize="0" autoLine="0" autoPict="0">
                <anchor moveWithCells="1" sizeWithCells="1">
                  <from>
                    <xdr:col>3</xdr:col>
                    <xdr:colOff>180975</xdr:colOff>
                    <xdr:row>9</xdr:row>
                    <xdr:rowOff>9525</xdr:rowOff>
                  </from>
                  <to>
                    <xdr:col>7</xdr:col>
                    <xdr:colOff>142875</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9E43-8321-4440-B3DC-E90759D7F8E9}">
  <sheetPr>
    <tabColor rgb="FFFFFF00"/>
    <pageSetUpPr fitToPage="1"/>
  </sheetPr>
  <dimension ref="A1:Y41"/>
  <sheetViews>
    <sheetView showGridLines="0" zoomScale="44" zoomScaleNormal="44" workbookViewId="0">
      <selection activeCell="B5" sqref="B5"/>
    </sheetView>
  </sheetViews>
  <sheetFormatPr defaultRowHeight="12"/>
  <cols>
    <col min="1" max="1" width="13.875" style="205" customWidth="1"/>
    <col min="2" max="2" width="13.75" style="205" customWidth="1"/>
    <col min="3" max="3" width="14.75" style="205" customWidth="1"/>
    <col min="4" max="4" width="14.375" style="205" customWidth="1"/>
    <col min="5" max="5" width="23.625" style="205" customWidth="1"/>
    <col min="6" max="6" width="14.625" style="205" bestFit="1" customWidth="1"/>
    <col min="7" max="7" width="23.625" style="205" customWidth="1"/>
    <col min="8" max="8" width="23.125" style="205" customWidth="1"/>
    <col min="9" max="12" width="23.625" style="205" customWidth="1"/>
    <col min="13" max="13" width="17.375" style="205" bestFit="1" customWidth="1"/>
    <col min="14" max="24" width="23.625" style="205" customWidth="1"/>
    <col min="25" max="16384" width="9" style="205"/>
  </cols>
  <sheetData>
    <row r="1" spans="1:22" s="185" customFormat="1" ht="38.25" customHeight="1" thickBot="1">
      <c r="A1" s="184" t="s">
        <v>101</v>
      </c>
    </row>
    <row r="2" spans="1:22" s="187" customFormat="1" ht="50.1" customHeight="1" thickBot="1">
      <c r="A2" s="352" t="s">
        <v>122</v>
      </c>
      <c r="B2" s="353"/>
      <c r="C2" s="353"/>
      <c r="D2" s="354"/>
      <c r="E2" s="186"/>
      <c r="F2" s="186"/>
      <c r="G2" s="186"/>
      <c r="S2" s="188"/>
      <c r="T2" s="189"/>
      <c r="U2" s="188"/>
      <c r="V2" s="188"/>
    </row>
    <row r="3" spans="1:22" s="185" customFormat="1" ht="50.1" customHeight="1" thickTop="1">
      <c r="A3" s="342" t="s">
        <v>125</v>
      </c>
      <c r="B3" s="342"/>
      <c r="C3" s="342"/>
      <c r="D3" s="342"/>
      <c r="E3" s="404" t="s">
        <v>115</v>
      </c>
      <c r="F3" s="404"/>
      <c r="G3" s="404"/>
      <c r="H3" s="359"/>
      <c r="I3" s="358" t="s">
        <v>103</v>
      </c>
      <c r="J3" s="359"/>
      <c r="K3" s="190" t="s">
        <v>104</v>
      </c>
      <c r="L3" s="349" t="s">
        <v>112</v>
      </c>
      <c r="M3" s="351" t="s">
        <v>110</v>
      </c>
      <c r="N3" s="336"/>
      <c r="O3" s="336"/>
      <c r="P3" s="336" t="s">
        <v>97</v>
      </c>
      <c r="Q3" s="340" t="s">
        <v>172</v>
      </c>
      <c r="R3" s="375" t="s">
        <v>98</v>
      </c>
      <c r="S3" s="377" t="s">
        <v>99</v>
      </c>
      <c r="T3" s="397" t="s">
        <v>100</v>
      </c>
      <c r="U3" s="405" t="s">
        <v>190</v>
      </c>
    </row>
    <row r="4" spans="1:22" s="185" customFormat="1" ht="50.1" customHeight="1">
      <c r="A4" s="191"/>
      <c r="B4" s="220" t="s">
        <v>111</v>
      </c>
      <c r="C4" s="220" t="s">
        <v>169</v>
      </c>
      <c r="D4" s="220" t="s">
        <v>196</v>
      </c>
      <c r="E4" s="192" t="s">
        <v>113</v>
      </c>
      <c r="F4" s="193" t="s">
        <v>102</v>
      </c>
      <c r="G4" s="193" t="s">
        <v>160</v>
      </c>
      <c r="H4" s="193" t="s">
        <v>95</v>
      </c>
      <c r="I4" s="193" t="s">
        <v>106</v>
      </c>
      <c r="J4" s="193" t="s">
        <v>95</v>
      </c>
      <c r="K4" s="190" t="s">
        <v>105</v>
      </c>
      <c r="L4" s="350"/>
      <c r="M4" s="194" t="s">
        <v>78</v>
      </c>
      <c r="N4" s="195" t="s">
        <v>82</v>
      </c>
      <c r="O4" s="195" t="s">
        <v>96</v>
      </c>
      <c r="P4" s="336"/>
      <c r="Q4" s="341"/>
      <c r="R4" s="400"/>
      <c r="S4" s="378"/>
      <c r="T4" s="397"/>
      <c r="U4" s="406"/>
    </row>
    <row r="5" spans="1:22" s="185" customFormat="1" ht="30" customHeight="1">
      <c r="A5" s="196" t="s">
        <v>86</v>
      </c>
      <c r="B5" s="197" t="str">
        <f>IF(算定基礎!A20=1,"〇","")</f>
        <v>〇</v>
      </c>
      <c r="C5" s="197" t="str">
        <f>IF(算定基礎!C20=1,"〇","")</f>
        <v/>
      </c>
      <c r="D5" s="197" t="str">
        <f>IF(算定基礎!C20&lt;3,"〇","")</f>
        <v/>
      </c>
      <c r="E5" s="251">
        <f>IF(B5="〇",算定基礎!L20,"-")</f>
        <v>0</v>
      </c>
      <c r="F5" s="389">
        <f>算定基礎!C13</f>
        <v>5.5800000000000002E-2</v>
      </c>
      <c r="G5" s="252">
        <f>IF(B5="〇",IFERROR(ROUNDDOWN(E5*$F$5,0),""),"‐")</f>
        <v>0</v>
      </c>
      <c r="H5" s="343">
        <f>ROUNDDOWN(SUM(G5:G10),0)</f>
        <v>0</v>
      </c>
      <c r="I5" s="252">
        <f>IF(B5="〇",算定基礎!$D$13,"-")</f>
        <v>19807</v>
      </c>
      <c r="J5" s="343">
        <f>SUM(I5:I10)</f>
        <v>19807</v>
      </c>
      <c r="K5" s="407">
        <f>算定基礎!E13</f>
        <v>18664</v>
      </c>
      <c r="L5" s="337">
        <f>H5+J5+K5</f>
        <v>38471</v>
      </c>
      <c r="M5" s="408">
        <f>VLOOKUP("○",算定基礎!F32:I35,4,0)</f>
        <v>7</v>
      </c>
      <c r="N5" s="253">
        <f>IFERROR(ROUNDUP(I5*$M$5/10,0),0)</f>
        <v>13865</v>
      </c>
      <c r="O5" s="393">
        <f>IFERROR(ROUNDUP(K5*$M$5/10,0),0)</f>
        <v>13065</v>
      </c>
      <c r="P5" s="252">
        <f>IF(C5="〇",ROUNDUP((I5-N5)/2,0),0)</f>
        <v>0</v>
      </c>
      <c r="Q5" s="401">
        <f>算定基礎!Q31</f>
        <v>0</v>
      </c>
      <c r="R5" s="379">
        <f>N11+O5+P11+Q5</f>
        <v>26930</v>
      </c>
      <c r="S5" s="382">
        <f>L5-R5</f>
        <v>11541</v>
      </c>
      <c r="T5" s="374">
        <f>IF(S5&gt;算定基礎!F13,S5-算定基礎!F13,0)</f>
        <v>0</v>
      </c>
      <c r="U5" s="372">
        <f>ROUNDDOWN(S5-T5,-2)</f>
        <v>11500</v>
      </c>
    </row>
    <row r="6" spans="1:22" s="185" customFormat="1" ht="30" customHeight="1">
      <c r="A6" s="196" t="s">
        <v>87</v>
      </c>
      <c r="B6" s="197" t="str">
        <f>IF(算定基礎!D21=1,"〇","")</f>
        <v/>
      </c>
      <c r="C6" s="197" t="str">
        <f>IF(算定基礎!C21=2,"〇","")</f>
        <v/>
      </c>
      <c r="D6" s="197" t="str">
        <f>IF(OR(算定基礎!C21=2,算定基礎!C21=3),"〇","")</f>
        <v/>
      </c>
      <c r="E6" s="251" t="str">
        <f>IF(B6="〇",算定基礎!L21,"")</f>
        <v/>
      </c>
      <c r="F6" s="389"/>
      <c r="G6" s="252" t="str">
        <f t="shared" ref="G6:G10" si="0">IFERROR(ROUNDDOWN(E6*$F$5,0),"")</f>
        <v/>
      </c>
      <c r="H6" s="344"/>
      <c r="I6" s="252">
        <f>IF(B6="〇",算定基礎!$D$13,0)</f>
        <v>0</v>
      </c>
      <c r="J6" s="344"/>
      <c r="K6" s="407"/>
      <c r="L6" s="338"/>
      <c r="M6" s="409"/>
      <c r="N6" s="253">
        <f t="shared" ref="N6:N10" si="1">IFERROR(ROUNDUP(I6*$M$5/10,0),0)</f>
        <v>0</v>
      </c>
      <c r="O6" s="393"/>
      <c r="P6" s="252">
        <f t="shared" ref="P6:P10" si="2">IF(C6="〇",ROUNDUP((I6-N6)/2,0),0)</f>
        <v>0</v>
      </c>
      <c r="Q6" s="402"/>
      <c r="R6" s="380"/>
      <c r="S6" s="383"/>
      <c r="T6" s="374"/>
      <c r="U6" s="372"/>
    </row>
    <row r="7" spans="1:22" s="185" customFormat="1" ht="30" customHeight="1">
      <c r="A7" s="196" t="s">
        <v>88</v>
      </c>
      <c r="B7" s="197" t="str">
        <f>IF(算定基礎!D22=1,"〇","")</f>
        <v/>
      </c>
      <c r="C7" s="197" t="str">
        <f>IF(算定基礎!C22=2,"〇","")</f>
        <v/>
      </c>
      <c r="D7" s="197" t="str">
        <f>IF(OR(算定基礎!C22=2,算定基礎!C22=3),"〇","")</f>
        <v/>
      </c>
      <c r="E7" s="251" t="str">
        <f>IF(B7="〇",算定基礎!L22,"")</f>
        <v/>
      </c>
      <c r="F7" s="389"/>
      <c r="G7" s="252" t="str">
        <f t="shared" si="0"/>
        <v/>
      </c>
      <c r="H7" s="344"/>
      <c r="I7" s="252">
        <f>IF(B7="〇",算定基礎!$D$13,0)</f>
        <v>0</v>
      </c>
      <c r="J7" s="344"/>
      <c r="K7" s="407"/>
      <c r="L7" s="338"/>
      <c r="M7" s="409"/>
      <c r="N7" s="253">
        <f t="shared" si="1"/>
        <v>0</v>
      </c>
      <c r="O7" s="393"/>
      <c r="P7" s="252">
        <f t="shared" si="2"/>
        <v>0</v>
      </c>
      <c r="Q7" s="402"/>
      <c r="R7" s="380"/>
      <c r="S7" s="383"/>
      <c r="T7" s="374"/>
      <c r="U7" s="372"/>
    </row>
    <row r="8" spans="1:22" s="185" customFormat="1" ht="30" customHeight="1">
      <c r="A8" s="196" t="s">
        <v>92</v>
      </c>
      <c r="B8" s="197" t="str">
        <f>IF(算定基礎!D23=1,"〇","")</f>
        <v/>
      </c>
      <c r="C8" s="197" t="str">
        <f>IF(算定基礎!C23=2,"〇","")</f>
        <v/>
      </c>
      <c r="D8" s="197" t="str">
        <f>IF(OR(算定基礎!C23=2,算定基礎!C23=3),"〇","")</f>
        <v/>
      </c>
      <c r="E8" s="251" t="str">
        <f>IF(B8="〇",算定基礎!L23,"")</f>
        <v/>
      </c>
      <c r="F8" s="389"/>
      <c r="G8" s="252" t="str">
        <f t="shared" si="0"/>
        <v/>
      </c>
      <c r="H8" s="344"/>
      <c r="I8" s="252">
        <f>IF(B8="〇",算定基礎!$D$13,0)</f>
        <v>0</v>
      </c>
      <c r="J8" s="344"/>
      <c r="K8" s="407"/>
      <c r="L8" s="338"/>
      <c r="M8" s="409"/>
      <c r="N8" s="253">
        <f t="shared" si="1"/>
        <v>0</v>
      </c>
      <c r="O8" s="393"/>
      <c r="P8" s="252">
        <f t="shared" si="2"/>
        <v>0</v>
      </c>
      <c r="Q8" s="402"/>
      <c r="R8" s="380"/>
      <c r="S8" s="383"/>
      <c r="T8" s="374"/>
      <c r="U8" s="372"/>
    </row>
    <row r="9" spans="1:22" s="185" customFormat="1" ht="30" customHeight="1">
      <c r="A9" s="196" t="s">
        <v>93</v>
      </c>
      <c r="B9" s="197" t="str">
        <f>IF(算定基礎!D24=1,"〇","")</f>
        <v/>
      </c>
      <c r="C9" s="197" t="str">
        <f>IF(算定基礎!C24=2,"〇","")</f>
        <v/>
      </c>
      <c r="D9" s="197" t="str">
        <f>IF(OR(算定基礎!C24=2,算定基礎!C24=3),"〇","")</f>
        <v/>
      </c>
      <c r="E9" s="251" t="str">
        <f>IF(B9="〇",算定基礎!L24,"")</f>
        <v/>
      </c>
      <c r="F9" s="389"/>
      <c r="G9" s="252" t="str">
        <f t="shared" si="0"/>
        <v/>
      </c>
      <c r="H9" s="344"/>
      <c r="I9" s="252">
        <f>IF(B9="〇",算定基礎!$D$13,0)</f>
        <v>0</v>
      </c>
      <c r="J9" s="344"/>
      <c r="K9" s="407"/>
      <c r="L9" s="338"/>
      <c r="M9" s="409"/>
      <c r="N9" s="253">
        <f t="shared" si="1"/>
        <v>0</v>
      </c>
      <c r="O9" s="393"/>
      <c r="P9" s="252">
        <f t="shared" si="2"/>
        <v>0</v>
      </c>
      <c r="Q9" s="402"/>
      <c r="R9" s="380"/>
      <c r="S9" s="383"/>
      <c r="T9" s="374"/>
      <c r="U9" s="372"/>
    </row>
    <row r="10" spans="1:22" s="185" customFormat="1" ht="30" customHeight="1" thickBot="1">
      <c r="A10" s="196" t="s">
        <v>94</v>
      </c>
      <c r="B10" s="197" t="str">
        <f>IF(算定基礎!D25=1,"〇","")</f>
        <v/>
      </c>
      <c r="C10" s="197" t="str">
        <f>IF(算定基礎!C25=2,"〇","")</f>
        <v/>
      </c>
      <c r="D10" s="197" t="str">
        <f>IF(OR(算定基礎!C25=2,算定基礎!C25=3),"〇","")</f>
        <v/>
      </c>
      <c r="E10" s="251" t="str">
        <f>IF(B10="〇",算定基礎!L25,"")</f>
        <v/>
      </c>
      <c r="F10" s="389"/>
      <c r="G10" s="252" t="str">
        <f t="shared" si="0"/>
        <v/>
      </c>
      <c r="H10" s="345"/>
      <c r="I10" s="252">
        <f>IF(B10="〇",算定基礎!$D$13,0)</f>
        <v>0</v>
      </c>
      <c r="J10" s="345"/>
      <c r="K10" s="407"/>
      <c r="L10" s="339"/>
      <c r="M10" s="410"/>
      <c r="N10" s="253">
        <f t="shared" si="1"/>
        <v>0</v>
      </c>
      <c r="O10" s="393"/>
      <c r="P10" s="252">
        <f t="shared" si="2"/>
        <v>0</v>
      </c>
      <c r="Q10" s="403"/>
      <c r="R10" s="381"/>
      <c r="S10" s="384"/>
      <c r="T10" s="374"/>
      <c r="U10" s="373"/>
    </row>
    <row r="11" spans="1:22" s="188" customFormat="1" ht="30" customHeight="1" thickBot="1">
      <c r="A11" s="224"/>
      <c r="B11" s="225"/>
      <c r="C11" s="225"/>
      <c r="D11" s="223"/>
      <c r="E11" s="226"/>
      <c r="F11" s="223"/>
      <c r="G11" s="223"/>
      <c r="H11" s="223"/>
      <c r="I11" s="223"/>
      <c r="J11" s="227"/>
      <c r="K11" s="227"/>
      <c r="L11" s="228"/>
      <c r="M11" s="229"/>
      <c r="N11" s="242">
        <f>SUM(N5:N10)</f>
        <v>13865</v>
      </c>
      <c r="O11" s="242"/>
      <c r="P11" s="242">
        <f>SUM(P5:P10)</f>
        <v>0</v>
      </c>
      <c r="Q11" s="223"/>
      <c r="R11" s="223"/>
      <c r="S11" s="223"/>
      <c r="T11" s="223"/>
      <c r="U11" s="223"/>
    </row>
    <row r="12" spans="1:22" s="187" customFormat="1" ht="50.1" customHeight="1" thickBot="1">
      <c r="A12" s="355" t="s">
        <v>123</v>
      </c>
      <c r="B12" s="356"/>
      <c r="C12" s="356"/>
      <c r="D12" s="357"/>
      <c r="E12" s="186"/>
      <c r="F12" s="186"/>
      <c r="G12" s="186"/>
      <c r="S12" s="188"/>
      <c r="T12" s="189"/>
      <c r="U12" s="188"/>
      <c r="V12" s="188"/>
    </row>
    <row r="13" spans="1:22" s="185" customFormat="1" ht="50.1" customHeight="1" thickTop="1">
      <c r="A13" s="365" t="s">
        <v>125</v>
      </c>
      <c r="B13" s="365"/>
      <c r="C13" s="365"/>
      <c r="D13" s="365"/>
      <c r="E13" s="360" t="s">
        <v>115</v>
      </c>
      <c r="F13" s="361"/>
      <c r="G13" s="361"/>
      <c r="H13" s="359"/>
      <c r="I13" s="358" t="s">
        <v>103</v>
      </c>
      <c r="J13" s="359"/>
      <c r="K13" s="190" t="s">
        <v>104</v>
      </c>
      <c r="L13" s="366" t="s">
        <v>112</v>
      </c>
      <c r="M13" s="351" t="s">
        <v>110</v>
      </c>
      <c r="N13" s="336"/>
      <c r="O13" s="336"/>
      <c r="P13" s="336" t="s">
        <v>77</v>
      </c>
      <c r="Q13" s="340" t="s">
        <v>173</v>
      </c>
      <c r="R13" s="375" t="s">
        <v>98</v>
      </c>
      <c r="S13" s="377" t="s">
        <v>99</v>
      </c>
      <c r="T13" s="397" t="s">
        <v>100</v>
      </c>
      <c r="U13" s="398" t="s">
        <v>191</v>
      </c>
    </row>
    <row r="14" spans="1:22" s="185" customFormat="1" ht="50.1" customHeight="1">
      <c r="A14" s="198"/>
      <c r="B14" s="198" t="s">
        <v>111</v>
      </c>
      <c r="C14" s="221" t="s">
        <v>169</v>
      </c>
      <c r="D14" s="221" t="s">
        <v>196</v>
      </c>
      <c r="E14" s="192" t="s">
        <v>113</v>
      </c>
      <c r="F14" s="193" t="s">
        <v>102</v>
      </c>
      <c r="G14" s="193" t="s">
        <v>160</v>
      </c>
      <c r="H14" s="193" t="s">
        <v>95</v>
      </c>
      <c r="I14" s="193" t="s">
        <v>106</v>
      </c>
      <c r="J14" s="193" t="s">
        <v>95</v>
      </c>
      <c r="K14" s="190" t="s">
        <v>105</v>
      </c>
      <c r="L14" s="367"/>
      <c r="M14" s="194" t="s">
        <v>78</v>
      </c>
      <c r="N14" s="195" t="s">
        <v>80</v>
      </c>
      <c r="O14" s="195" t="s">
        <v>81</v>
      </c>
      <c r="P14" s="336"/>
      <c r="Q14" s="341"/>
      <c r="R14" s="400"/>
      <c r="S14" s="378"/>
      <c r="T14" s="397"/>
      <c r="U14" s="399"/>
    </row>
    <row r="15" spans="1:22" s="185" customFormat="1" ht="30" customHeight="1">
      <c r="A15" s="196" t="s">
        <v>86</v>
      </c>
      <c r="B15" s="197" t="str">
        <f t="shared" ref="B15:E20" si="3">B5</f>
        <v>〇</v>
      </c>
      <c r="C15" s="197" t="str">
        <f t="shared" si="3"/>
        <v/>
      </c>
      <c r="D15" s="197" t="str">
        <f t="shared" si="3"/>
        <v/>
      </c>
      <c r="E15" s="251">
        <f>E5</f>
        <v>0</v>
      </c>
      <c r="F15" s="368">
        <f>算定基礎!C14</f>
        <v>3.1399999999999997E-2</v>
      </c>
      <c r="G15" s="252">
        <f>IF(B15="〇",IFERROR(ROUNDDOWN(E15*$F$15,0),""),"-")</f>
        <v>0</v>
      </c>
      <c r="H15" s="343">
        <f>ROUNDDOWN(SUM(G15:G20),0)</f>
        <v>0</v>
      </c>
      <c r="I15" s="252">
        <f>IF(B15="〇",算定基礎!$D$14,"-")</f>
        <v>10441</v>
      </c>
      <c r="J15" s="343">
        <f>SUM(I15:I20)</f>
        <v>10441</v>
      </c>
      <c r="K15" s="346">
        <f>算定基礎!E14</f>
        <v>9838</v>
      </c>
      <c r="L15" s="337">
        <f>H15+J15+K15</f>
        <v>20279</v>
      </c>
      <c r="M15" s="390">
        <f>M5</f>
        <v>7</v>
      </c>
      <c r="N15" s="253">
        <f>IFERROR(ROUNDUP(I15*$M$15/10,0),0)</f>
        <v>7309</v>
      </c>
      <c r="O15" s="343">
        <f>IFERROR(ROUNDUP(K15*M15/10,0),0)</f>
        <v>6887</v>
      </c>
      <c r="P15" s="252">
        <f>IF(C15="〇",ROUNDUP((I15-N15)/2,0),0)</f>
        <v>0</v>
      </c>
      <c r="Q15" s="401">
        <f>算定基礎!Q32</f>
        <v>0</v>
      </c>
      <c r="R15" s="379">
        <f>N21+O15+P21+Q15</f>
        <v>14196</v>
      </c>
      <c r="S15" s="382">
        <f>L15-R15</f>
        <v>6083</v>
      </c>
      <c r="T15" s="374">
        <f>IF(S15&gt;算定基礎!F14,S15-算定基礎!F14,0)</f>
        <v>0</v>
      </c>
      <c r="U15" s="372">
        <f>ROUNDDOWN(S15-T15,-2)</f>
        <v>6000</v>
      </c>
    </row>
    <row r="16" spans="1:22" s="185" customFormat="1" ht="30" customHeight="1">
      <c r="A16" s="196" t="s">
        <v>87</v>
      </c>
      <c r="B16" s="197" t="str">
        <f t="shared" si="3"/>
        <v/>
      </c>
      <c r="C16" s="197" t="str">
        <f t="shared" si="3"/>
        <v/>
      </c>
      <c r="D16" s="197" t="str">
        <f t="shared" si="3"/>
        <v/>
      </c>
      <c r="E16" s="251" t="str">
        <f t="shared" si="3"/>
        <v/>
      </c>
      <c r="F16" s="369"/>
      <c r="G16" s="252" t="str">
        <f t="shared" ref="G16:G20" si="4">IFERROR(ROUNDDOWN(E16*$F$15,0),"")</f>
        <v/>
      </c>
      <c r="H16" s="344"/>
      <c r="I16" s="252">
        <f>IF(B16="〇",算定基礎!$D$14,0)</f>
        <v>0</v>
      </c>
      <c r="J16" s="344"/>
      <c r="K16" s="347"/>
      <c r="L16" s="338"/>
      <c r="M16" s="391"/>
      <c r="N16" s="253">
        <f t="shared" ref="N16:N20" si="5">IFERROR(ROUNDUP(I16*$M$15/10,0),0)</f>
        <v>0</v>
      </c>
      <c r="O16" s="344"/>
      <c r="P16" s="252">
        <f t="shared" ref="P16:P20" si="6">IF(C16="〇",ROUNDUP((I16-N16)/2,0),0)</f>
        <v>0</v>
      </c>
      <c r="Q16" s="402"/>
      <c r="R16" s="380"/>
      <c r="S16" s="383"/>
      <c r="T16" s="374"/>
      <c r="U16" s="372"/>
    </row>
    <row r="17" spans="1:24" s="185" customFormat="1" ht="30" customHeight="1">
      <c r="A17" s="196" t="s">
        <v>88</v>
      </c>
      <c r="B17" s="197" t="str">
        <f t="shared" si="3"/>
        <v/>
      </c>
      <c r="C17" s="197" t="str">
        <f t="shared" si="3"/>
        <v/>
      </c>
      <c r="D17" s="197" t="str">
        <f t="shared" si="3"/>
        <v/>
      </c>
      <c r="E17" s="251" t="str">
        <f t="shared" si="3"/>
        <v/>
      </c>
      <c r="F17" s="369"/>
      <c r="G17" s="252" t="str">
        <f t="shared" si="4"/>
        <v/>
      </c>
      <c r="H17" s="344"/>
      <c r="I17" s="252">
        <f>IF(B17="〇",算定基礎!$D$14,0)</f>
        <v>0</v>
      </c>
      <c r="J17" s="344"/>
      <c r="K17" s="347"/>
      <c r="L17" s="338"/>
      <c r="M17" s="391"/>
      <c r="N17" s="253">
        <f t="shared" si="5"/>
        <v>0</v>
      </c>
      <c r="O17" s="344"/>
      <c r="P17" s="252">
        <f t="shared" si="6"/>
        <v>0</v>
      </c>
      <c r="Q17" s="402"/>
      <c r="R17" s="380"/>
      <c r="S17" s="383"/>
      <c r="T17" s="374"/>
      <c r="U17" s="372"/>
    </row>
    <row r="18" spans="1:24" s="185" customFormat="1" ht="30" customHeight="1">
      <c r="A18" s="196" t="s">
        <v>92</v>
      </c>
      <c r="B18" s="197" t="str">
        <f t="shared" si="3"/>
        <v/>
      </c>
      <c r="C18" s="197" t="str">
        <f t="shared" si="3"/>
        <v/>
      </c>
      <c r="D18" s="197" t="str">
        <f t="shared" si="3"/>
        <v/>
      </c>
      <c r="E18" s="251" t="str">
        <f t="shared" si="3"/>
        <v/>
      </c>
      <c r="F18" s="369"/>
      <c r="G18" s="252" t="str">
        <f t="shared" si="4"/>
        <v/>
      </c>
      <c r="H18" s="344"/>
      <c r="I18" s="252">
        <f>IF(B18="〇",算定基礎!$D$14,0)</f>
        <v>0</v>
      </c>
      <c r="J18" s="344"/>
      <c r="K18" s="347"/>
      <c r="L18" s="338"/>
      <c r="M18" s="391"/>
      <c r="N18" s="253">
        <f t="shared" si="5"/>
        <v>0</v>
      </c>
      <c r="O18" s="344"/>
      <c r="P18" s="252">
        <f t="shared" si="6"/>
        <v>0</v>
      </c>
      <c r="Q18" s="402"/>
      <c r="R18" s="380"/>
      <c r="S18" s="383"/>
      <c r="T18" s="374"/>
      <c r="U18" s="372"/>
    </row>
    <row r="19" spans="1:24" s="185" customFormat="1" ht="30" customHeight="1">
      <c r="A19" s="196" t="s">
        <v>93</v>
      </c>
      <c r="B19" s="197" t="str">
        <f t="shared" si="3"/>
        <v/>
      </c>
      <c r="C19" s="197" t="str">
        <f t="shared" si="3"/>
        <v/>
      </c>
      <c r="D19" s="197" t="str">
        <f t="shared" si="3"/>
        <v/>
      </c>
      <c r="E19" s="251" t="str">
        <f t="shared" si="3"/>
        <v/>
      </c>
      <c r="F19" s="369"/>
      <c r="G19" s="252" t="str">
        <f t="shared" si="4"/>
        <v/>
      </c>
      <c r="H19" s="344"/>
      <c r="I19" s="252">
        <f>IF(B19="〇",算定基礎!$D$14,0)</f>
        <v>0</v>
      </c>
      <c r="J19" s="344"/>
      <c r="K19" s="347"/>
      <c r="L19" s="338"/>
      <c r="M19" s="391"/>
      <c r="N19" s="253">
        <f t="shared" si="5"/>
        <v>0</v>
      </c>
      <c r="O19" s="344"/>
      <c r="P19" s="252">
        <f t="shared" si="6"/>
        <v>0</v>
      </c>
      <c r="Q19" s="402"/>
      <c r="R19" s="380"/>
      <c r="S19" s="383"/>
      <c r="T19" s="374"/>
      <c r="U19" s="372"/>
    </row>
    <row r="20" spans="1:24" s="185" customFormat="1" ht="30" customHeight="1" thickBot="1">
      <c r="A20" s="196" t="s">
        <v>94</v>
      </c>
      <c r="B20" s="197" t="str">
        <f t="shared" si="3"/>
        <v/>
      </c>
      <c r="C20" s="197" t="str">
        <f t="shared" si="3"/>
        <v/>
      </c>
      <c r="D20" s="197" t="str">
        <f t="shared" si="3"/>
        <v/>
      </c>
      <c r="E20" s="251" t="str">
        <f t="shared" si="3"/>
        <v/>
      </c>
      <c r="F20" s="370"/>
      <c r="G20" s="252" t="str">
        <f t="shared" si="4"/>
        <v/>
      </c>
      <c r="H20" s="345"/>
      <c r="I20" s="252">
        <f>IF(B20="〇",算定基礎!$D$14,0)</f>
        <v>0</v>
      </c>
      <c r="J20" s="345"/>
      <c r="K20" s="348"/>
      <c r="L20" s="339"/>
      <c r="M20" s="392"/>
      <c r="N20" s="253">
        <f t="shared" si="5"/>
        <v>0</v>
      </c>
      <c r="O20" s="345"/>
      <c r="P20" s="252">
        <f t="shared" si="6"/>
        <v>0</v>
      </c>
      <c r="Q20" s="403"/>
      <c r="R20" s="381"/>
      <c r="S20" s="384"/>
      <c r="T20" s="374"/>
      <c r="U20" s="373"/>
    </row>
    <row r="21" spans="1:24" s="188" customFormat="1" ht="30" customHeight="1" thickBot="1">
      <c r="A21" s="224"/>
      <c r="B21" s="225"/>
      <c r="C21" s="225"/>
      <c r="D21" s="223"/>
      <c r="E21" s="226"/>
      <c r="F21" s="223"/>
      <c r="G21" s="223"/>
      <c r="H21" s="223"/>
      <c r="I21" s="223"/>
      <c r="J21" s="227"/>
      <c r="K21" s="227"/>
      <c r="L21" s="228"/>
      <c r="M21" s="229"/>
      <c r="N21" s="242">
        <f>SUM(N15:N20)</f>
        <v>7309</v>
      </c>
      <c r="O21" s="242"/>
      <c r="P21" s="242">
        <f>SUM(P15:P20)</f>
        <v>0</v>
      </c>
      <c r="Q21" s="223"/>
      <c r="R21" s="223"/>
      <c r="S21" s="223"/>
      <c r="T21" s="223"/>
      <c r="U21" s="223"/>
    </row>
    <row r="22" spans="1:24" s="187" customFormat="1" ht="50.1" customHeight="1" thickBot="1">
      <c r="A22" s="362" t="s">
        <v>167</v>
      </c>
      <c r="B22" s="363"/>
      <c r="C22" s="363"/>
      <c r="D22" s="364"/>
      <c r="E22" s="199"/>
      <c r="F22" s="199"/>
      <c r="G22" s="186"/>
      <c r="S22" s="188"/>
      <c r="T22" s="189"/>
    </row>
    <row r="23" spans="1:24" s="185" customFormat="1" ht="50.1" customHeight="1" thickTop="1">
      <c r="A23" s="371" t="s">
        <v>125</v>
      </c>
      <c r="B23" s="371"/>
      <c r="C23" s="371"/>
      <c r="D23" s="371"/>
      <c r="E23" s="404" t="s">
        <v>115</v>
      </c>
      <c r="F23" s="404"/>
      <c r="G23" s="361"/>
      <c r="H23" s="359"/>
      <c r="I23" s="358" t="s">
        <v>103</v>
      </c>
      <c r="J23" s="359"/>
      <c r="K23" s="190" t="s">
        <v>104</v>
      </c>
      <c r="L23" s="366" t="s">
        <v>112</v>
      </c>
      <c r="M23" s="351" t="s">
        <v>110</v>
      </c>
      <c r="N23" s="336"/>
      <c r="O23" s="336"/>
      <c r="P23" s="375" t="s">
        <v>119</v>
      </c>
      <c r="Q23" s="377" t="s">
        <v>99</v>
      </c>
      <c r="R23" s="397" t="s">
        <v>100</v>
      </c>
      <c r="S23" s="412" t="s">
        <v>192</v>
      </c>
    </row>
    <row r="24" spans="1:24" s="185" customFormat="1" ht="50.1" customHeight="1">
      <c r="A24" s="200"/>
      <c r="B24" s="206" t="s">
        <v>111</v>
      </c>
      <c r="C24" s="201"/>
      <c r="D24" s="201"/>
      <c r="E24" s="192" t="s">
        <v>113</v>
      </c>
      <c r="F24" s="193" t="s">
        <v>102</v>
      </c>
      <c r="G24" s="193" t="s">
        <v>160</v>
      </c>
      <c r="H24" s="193" t="s">
        <v>95</v>
      </c>
      <c r="I24" s="193" t="s">
        <v>106</v>
      </c>
      <c r="J24" s="193" t="s">
        <v>95</v>
      </c>
      <c r="K24" s="190" t="s">
        <v>105</v>
      </c>
      <c r="L24" s="367"/>
      <c r="M24" s="194" t="s">
        <v>78</v>
      </c>
      <c r="N24" s="195" t="s">
        <v>82</v>
      </c>
      <c r="O24" s="195" t="s">
        <v>96</v>
      </c>
      <c r="P24" s="400"/>
      <c r="Q24" s="378"/>
      <c r="R24" s="397"/>
      <c r="S24" s="413"/>
    </row>
    <row r="25" spans="1:24" s="185" customFormat="1" ht="30" customHeight="1">
      <c r="A25" s="196" t="s">
        <v>86</v>
      </c>
      <c r="B25" s="197" t="str">
        <f>IF(算定基礎!E20=1,"〇","")</f>
        <v/>
      </c>
      <c r="C25" s="254"/>
      <c r="D25" s="254"/>
      <c r="E25" s="251" t="str">
        <f>IF(B25="〇",E5,"")</f>
        <v/>
      </c>
      <c r="F25" s="368">
        <f>算定基礎!C15</f>
        <v>2.6100000000000002E-2</v>
      </c>
      <c r="G25" s="252" t="str">
        <f>IF(B25="〇",IFERROR(ROUNDDOWN(E25*$F$25,0),""),"-")</f>
        <v>-</v>
      </c>
      <c r="H25" s="343">
        <f>ROUNDDOWN(SUM(G25:G30),0)</f>
        <v>0</v>
      </c>
      <c r="I25" s="252" t="str">
        <f>IF(B25="〇",算定基礎!$D$15,"-")</f>
        <v>-</v>
      </c>
      <c r="J25" s="343">
        <f>SUM(I25:I30)</f>
        <v>0</v>
      </c>
      <c r="K25" s="346">
        <f>IF(COUNTIF(B25:B30,"〇")=0,0,算定基礎!E15)</f>
        <v>0</v>
      </c>
      <c r="L25" s="337">
        <f>H25+J25+K25</f>
        <v>0</v>
      </c>
      <c r="M25" s="390">
        <f>M5</f>
        <v>7</v>
      </c>
      <c r="N25" s="253">
        <f>IFERROR(ROUNDUP(I25*$M$25/10,0),0)</f>
        <v>0</v>
      </c>
      <c r="O25" s="343">
        <f>IFERROR(ROUNDUP(K25*M25/10,0),0)</f>
        <v>0</v>
      </c>
      <c r="P25" s="379">
        <f>N31+O25</f>
        <v>0</v>
      </c>
      <c r="Q25" s="382">
        <f>L25-P25</f>
        <v>0</v>
      </c>
      <c r="R25" s="374">
        <f>IF(Q25&gt;算定基礎!F15,Q25-算定基礎!F15,0)</f>
        <v>0</v>
      </c>
      <c r="S25" s="372">
        <f>ROUNDDOWN(Q25-R25,-2)</f>
        <v>0</v>
      </c>
    </row>
    <row r="26" spans="1:24" s="185" customFormat="1" ht="30" customHeight="1">
      <c r="A26" s="196" t="s">
        <v>87</v>
      </c>
      <c r="B26" s="197" t="str">
        <f>IF(算定基礎!E21=1,"〇","")</f>
        <v/>
      </c>
      <c r="C26" s="254"/>
      <c r="D26" s="254"/>
      <c r="E26" s="251" t="str">
        <f t="shared" ref="E26:E30" si="7">IF(B26="〇",E6,"")</f>
        <v/>
      </c>
      <c r="F26" s="369"/>
      <c r="G26" s="252" t="str">
        <f t="shared" ref="G26:G30" si="8">IFERROR(ROUNDDOWN(E26*$F$25,0),"")</f>
        <v/>
      </c>
      <c r="H26" s="344"/>
      <c r="I26" s="252">
        <f>IF(B26="〇",算定基礎!$D$15,0)</f>
        <v>0</v>
      </c>
      <c r="J26" s="344"/>
      <c r="K26" s="347"/>
      <c r="L26" s="338"/>
      <c r="M26" s="391"/>
      <c r="N26" s="253">
        <f t="shared" ref="N26:N30" si="9">IFERROR(ROUNDUP(I26*$M$25/10,0),0)</f>
        <v>0</v>
      </c>
      <c r="O26" s="344"/>
      <c r="P26" s="380"/>
      <c r="Q26" s="383"/>
      <c r="R26" s="374"/>
      <c r="S26" s="372"/>
    </row>
    <row r="27" spans="1:24" s="185" customFormat="1" ht="30" customHeight="1">
      <c r="A27" s="196" t="s">
        <v>88</v>
      </c>
      <c r="B27" s="197" t="str">
        <f>IF(算定基礎!E22=1,"〇","")</f>
        <v/>
      </c>
      <c r="C27" s="254"/>
      <c r="D27" s="254"/>
      <c r="E27" s="251" t="str">
        <f t="shared" si="7"/>
        <v/>
      </c>
      <c r="F27" s="369"/>
      <c r="G27" s="252" t="str">
        <f t="shared" si="8"/>
        <v/>
      </c>
      <c r="H27" s="344"/>
      <c r="I27" s="252">
        <f>IF(B27="〇",算定基礎!$D$15,0)</f>
        <v>0</v>
      </c>
      <c r="J27" s="344"/>
      <c r="K27" s="347"/>
      <c r="L27" s="338"/>
      <c r="M27" s="391"/>
      <c r="N27" s="253">
        <f t="shared" si="9"/>
        <v>0</v>
      </c>
      <c r="O27" s="344"/>
      <c r="P27" s="380"/>
      <c r="Q27" s="383"/>
      <c r="R27" s="374"/>
      <c r="S27" s="372"/>
    </row>
    <row r="28" spans="1:24" s="185" customFormat="1" ht="30" customHeight="1">
      <c r="A28" s="196" t="s">
        <v>92</v>
      </c>
      <c r="B28" s="197" t="str">
        <f>IF(算定基礎!E23=1,"〇","")</f>
        <v/>
      </c>
      <c r="C28" s="254"/>
      <c r="D28" s="254"/>
      <c r="E28" s="251" t="str">
        <f t="shared" si="7"/>
        <v/>
      </c>
      <c r="F28" s="369"/>
      <c r="G28" s="252" t="str">
        <f t="shared" si="8"/>
        <v/>
      </c>
      <c r="H28" s="344"/>
      <c r="I28" s="252">
        <f>IF(B28="〇",算定基礎!$D$15,0)</f>
        <v>0</v>
      </c>
      <c r="J28" s="344"/>
      <c r="K28" s="347"/>
      <c r="L28" s="338"/>
      <c r="M28" s="391"/>
      <c r="N28" s="253">
        <f t="shared" si="9"/>
        <v>0</v>
      </c>
      <c r="O28" s="344"/>
      <c r="P28" s="380"/>
      <c r="Q28" s="383"/>
      <c r="R28" s="374"/>
      <c r="S28" s="372"/>
    </row>
    <row r="29" spans="1:24" s="185" customFormat="1" ht="30" customHeight="1">
      <c r="A29" s="196" t="s">
        <v>93</v>
      </c>
      <c r="B29" s="197" t="str">
        <f>IF(算定基礎!E24=1,"〇","")</f>
        <v/>
      </c>
      <c r="C29" s="254"/>
      <c r="D29" s="254"/>
      <c r="E29" s="251" t="str">
        <f t="shared" si="7"/>
        <v/>
      </c>
      <c r="F29" s="369"/>
      <c r="G29" s="252" t="str">
        <f t="shared" si="8"/>
        <v/>
      </c>
      <c r="H29" s="344"/>
      <c r="I29" s="252">
        <f>IF(B29="〇",算定基礎!$D$15,0)</f>
        <v>0</v>
      </c>
      <c r="J29" s="344"/>
      <c r="K29" s="347"/>
      <c r="L29" s="338"/>
      <c r="M29" s="391"/>
      <c r="N29" s="253">
        <f t="shared" si="9"/>
        <v>0</v>
      </c>
      <c r="O29" s="344"/>
      <c r="P29" s="380"/>
      <c r="Q29" s="383"/>
      <c r="R29" s="374"/>
      <c r="S29" s="372"/>
    </row>
    <row r="30" spans="1:24" s="185" customFormat="1" ht="30" customHeight="1" thickBot="1">
      <c r="A30" s="196" t="s">
        <v>94</v>
      </c>
      <c r="B30" s="197" t="str">
        <f>IF(算定基礎!E25=1,"〇","")</f>
        <v/>
      </c>
      <c r="C30" s="254"/>
      <c r="D30" s="254"/>
      <c r="E30" s="251" t="str">
        <f t="shared" si="7"/>
        <v/>
      </c>
      <c r="F30" s="370"/>
      <c r="G30" s="252" t="str">
        <f t="shared" si="8"/>
        <v/>
      </c>
      <c r="H30" s="345"/>
      <c r="I30" s="252">
        <f>IF(B30="〇",算定基礎!$D$15,0)</f>
        <v>0</v>
      </c>
      <c r="J30" s="345"/>
      <c r="K30" s="348"/>
      <c r="L30" s="339"/>
      <c r="M30" s="392"/>
      <c r="N30" s="253">
        <f t="shared" si="9"/>
        <v>0</v>
      </c>
      <c r="O30" s="345"/>
      <c r="P30" s="381"/>
      <c r="Q30" s="384"/>
      <c r="R30" s="374"/>
      <c r="S30" s="373"/>
    </row>
    <row r="31" spans="1:24" s="188" customFormat="1" ht="30" customHeight="1" thickBot="1">
      <c r="A31" s="224"/>
      <c r="B31" s="225"/>
      <c r="C31" s="225"/>
      <c r="D31" s="223"/>
      <c r="E31" s="226"/>
      <c r="F31" s="223"/>
      <c r="G31" s="223"/>
      <c r="H31" s="223"/>
      <c r="I31" s="223"/>
      <c r="J31" s="227"/>
      <c r="K31" s="227"/>
      <c r="L31" s="228"/>
      <c r="M31" s="229"/>
      <c r="N31" s="242">
        <f>SUM(N25:N30)</f>
        <v>0</v>
      </c>
      <c r="O31" s="242"/>
      <c r="P31" s="242"/>
      <c r="Q31" s="242"/>
      <c r="R31" s="223"/>
      <c r="S31" s="223"/>
      <c r="T31" s="223"/>
      <c r="U31" s="223"/>
      <c r="V31" s="223"/>
    </row>
    <row r="32" spans="1:24" s="187" customFormat="1" ht="50.1" customHeight="1" thickBot="1">
      <c r="A32" s="417" t="s">
        <v>124</v>
      </c>
      <c r="B32" s="418"/>
      <c r="C32" s="418"/>
      <c r="D32" s="419"/>
      <c r="E32" s="186"/>
      <c r="F32" s="186"/>
      <c r="G32" s="186"/>
      <c r="W32" s="188"/>
      <c r="X32" s="188"/>
    </row>
    <row r="33" spans="1:25" s="185" customFormat="1" ht="50.1" customHeight="1" thickTop="1">
      <c r="A33" s="411" t="s">
        <v>125</v>
      </c>
      <c r="B33" s="411"/>
      <c r="C33" s="411"/>
      <c r="D33" s="411"/>
      <c r="E33" s="416" t="s">
        <v>115</v>
      </c>
      <c r="F33" s="416"/>
      <c r="G33" s="416"/>
      <c r="H33" s="416"/>
      <c r="I33" s="358" t="s">
        <v>89</v>
      </c>
      <c r="J33" s="359"/>
      <c r="K33" s="358" t="s">
        <v>107</v>
      </c>
      <c r="L33" s="359"/>
      <c r="M33" s="190" t="s">
        <v>108</v>
      </c>
      <c r="N33" s="349" t="s">
        <v>121</v>
      </c>
      <c r="O33" s="351" t="s">
        <v>110</v>
      </c>
      <c r="P33" s="336"/>
      <c r="Q33" s="336"/>
      <c r="R33" s="336"/>
      <c r="S33" s="414" t="s">
        <v>84</v>
      </c>
      <c r="T33" s="340" t="s">
        <v>85</v>
      </c>
      <c r="U33" s="375" t="s">
        <v>98</v>
      </c>
      <c r="V33" s="377" t="s">
        <v>99</v>
      </c>
      <c r="W33" s="387" t="s">
        <v>100</v>
      </c>
      <c r="X33" s="385" t="s">
        <v>193</v>
      </c>
      <c r="Y33" s="202"/>
    </row>
    <row r="34" spans="1:25" s="185" customFormat="1" ht="50.1" customHeight="1">
      <c r="A34" s="203"/>
      <c r="B34" s="203" t="s">
        <v>111</v>
      </c>
      <c r="C34" s="203" t="s">
        <v>120</v>
      </c>
      <c r="D34" s="222" t="s">
        <v>169</v>
      </c>
      <c r="E34" s="192" t="s">
        <v>113</v>
      </c>
      <c r="F34" s="193" t="s">
        <v>102</v>
      </c>
      <c r="G34" s="193" t="s">
        <v>160</v>
      </c>
      <c r="H34" s="193" t="s">
        <v>95</v>
      </c>
      <c r="I34" s="193" t="s">
        <v>106</v>
      </c>
      <c r="J34" s="193" t="s">
        <v>95</v>
      </c>
      <c r="K34" s="193" t="s">
        <v>109</v>
      </c>
      <c r="L34" s="190" t="s">
        <v>118</v>
      </c>
      <c r="M34" s="190" t="s">
        <v>105</v>
      </c>
      <c r="N34" s="350"/>
      <c r="O34" s="194" t="s">
        <v>78</v>
      </c>
      <c r="P34" s="195" t="s">
        <v>79</v>
      </c>
      <c r="Q34" s="195" t="s">
        <v>83</v>
      </c>
      <c r="R34" s="195" t="s">
        <v>90</v>
      </c>
      <c r="S34" s="415"/>
      <c r="T34" s="341"/>
      <c r="U34" s="376"/>
      <c r="V34" s="378"/>
      <c r="W34" s="388"/>
      <c r="X34" s="386"/>
    </row>
    <row r="35" spans="1:25" s="185" customFormat="1" ht="30" customHeight="1">
      <c r="A35" s="196" t="s">
        <v>86</v>
      </c>
      <c r="B35" s="197" t="str">
        <f t="shared" ref="B35:B40" si="10">B5</f>
        <v>〇</v>
      </c>
      <c r="C35" s="197" t="str">
        <f>IF(OR(算定基礎!C31=2,算定基礎!C31=3,算定基礎!C31=4),"未満","以上")</f>
        <v>以上</v>
      </c>
      <c r="D35" s="204"/>
      <c r="E35" s="252">
        <f>E5</f>
        <v>0</v>
      </c>
      <c r="F35" s="389">
        <f>算定基礎!C16</f>
        <v>2.8E-3</v>
      </c>
      <c r="G35" s="252">
        <f>IF(B35="〇",IFERROR(ROUNDDOWN(E35*$F$35,0),""),"-")</f>
        <v>0</v>
      </c>
      <c r="H35" s="393">
        <f>ROUNDDOWN(SUM(G35:G40),0)</f>
        <v>0</v>
      </c>
      <c r="I35" s="252">
        <f>IF(B35="〇",算定基礎!$D$16,"-")</f>
        <v>967</v>
      </c>
      <c r="J35" s="343">
        <f>SUM(I35:I40)</f>
        <v>967</v>
      </c>
      <c r="K35" s="252">
        <f>IF(B35="〇",IF(C35="以上",算定基礎!$D$17,""),"-")</f>
        <v>72</v>
      </c>
      <c r="L35" s="394">
        <f>SUM(K35:K40)</f>
        <v>72</v>
      </c>
      <c r="M35" s="346">
        <f>算定基礎!E16</f>
        <v>911</v>
      </c>
      <c r="N35" s="337">
        <f>H35+J35+L35+M35</f>
        <v>1950</v>
      </c>
      <c r="O35" s="390">
        <f>M5</f>
        <v>7</v>
      </c>
      <c r="P35" s="253">
        <f>IFERROR(ROUNDUP(I35*$O$35/10,0),0)</f>
        <v>677</v>
      </c>
      <c r="Q35" s="253">
        <f>IFERROR(ROUNDUP(K35*$O$35/10,0),0)</f>
        <v>51</v>
      </c>
      <c r="R35" s="343">
        <f>IFERROR(ROUNDUP(M35*O35/10,0),0)</f>
        <v>638</v>
      </c>
      <c r="S35" s="252">
        <f>IF(D35="〇",(I35-P35)/2,0)</f>
        <v>0</v>
      </c>
      <c r="T35" s="255">
        <f>IF(C35="未満",ROUNDDOWN(I35-P35-S35,0),0)</f>
        <v>0</v>
      </c>
      <c r="U35" s="379">
        <f>P41+Q41+R35+S41+T41</f>
        <v>1366</v>
      </c>
      <c r="V35" s="382">
        <f>N35-U35</f>
        <v>584</v>
      </c>
      <c r="W35" s="374">
        <f>IF(V35&gt;算定基礎!F16,V35-算定基礎!F16,0)</f>
        <v>0</v>
      </c>
      <c r="X35" s="372">
        <f>ROUNDDOWN(V35-W35,-2)</f>
        <v>500</v>
      </c>
    </row>
    <row r="36" spans="1:25" s="185" customFormat="1" ht="30" customHeight="1">
      <c r="A36" s="196" t="s">
        <v>87</v>
      </c>
      <c r="B36" s="197" t="str">
        <f t="shared" si="10"/>
        <v/>
      </c>
      <c r="C36" s="197" t="str">
        <f>IF(B36="〇",IF(OR(算定基礎!C21=2,算定基礎!C21=3,算定基礎!C21=4),"未満","以上"),"")</f>
        <v/>
      </c>
      <c r="D36" s="204" t="str">
        <f>IF(算定基礎!C21=2,"〇","")</f>
        <v/>
      </c>
      <c r="E36" s="252" t="str">
        <f>E6</f>
        <v/>
      </c>
      <c r="F36" s="389"/>
      <c r="G36" s="252" t="str">
        <f t="shared" ref="G36:G40" si="11">IFERROR(ROUNDDOWN(E36*$F$35,0),"")</f>
        <v/>
      </c>
      <c r="H36" s="393"/>
      <c r="I36" s="252">
        <f>IF(B36="〇",算定基礎!$D$16,0)</f>
        <v>0</v>
      </c>
      <c r="J36" s="344"/>
      <c r="K36" s="252" t="str">
        <f>IF(C36="以上",算定基礎!$D$17,"")</f>
        <v/>
      </c>
      <c r="L36" s="395"/>
      <c r="M36" s="347"/>
      <c r="N36" s="338"/>
      <c r="O36" s="391"/>
      <c r="P36" s="253">
        <f t="shared" ref="P36:P40" si="12">IFERROR(ROUNDUP(I36*$O$35/10,0),0)</f>
        <v>0</v>
      </c>
      <c r="Q36" s="253">
        <f t="shared" ref="Q36:Q40" si="13">IFERROR(ROUNDUP(K36*$O$35/10,0),0)</f>
        <v>0</v>
      </c>
      <c r="R36" s="344"/>
      <c r="S36" s="252">
        <f>IF(D36="〇",(I36-P36)/2,0)</f>
        <v>0</v>
      </c>
      <c r="T36" s="255">
        <f t="shared" ref="T36:T40" si="14">IF(C36="未満",ROUNDDOWN(I36-P36-S36,0),0)</f>
        <v>0</v>
      </c>
      <c r="U36" s="380"/>
      <c r="V36" s="383"/>
      <c r="W36" s="374"/>
      <c r="X36" s="372"/>
    </row>
    <row r="37" spans="1:25" s="185" customFormat="1" ht="30" customHeight="1">
      <c r="A37" s="196" t="s">
        <v>88</v>
      </c>
      <c r="B37" s="197" t="str">
        <f t="shared" si="10"/>
        <v/>
      </c>
      <c r="C37" s="197" t="str">
        <f>IF(B37="〇",IF(OR(算定基礎!C22=2,算定基礎!C22=3,算定基礎!C22=4),"未満","以上"),"")</f>
        <v/>
      </c>
      <c r="D37" s="204" t="str">
        <f>IF(算定基礎!C22=2,"〇","")</f>
        <v/>
      </c>
      <c r="E37" s="252" t="str">
        <f t="shared" ref="E37" si="15">E7</f>
        <v/>
      </c>
      <c r="F37" s="389"/>
      <c r="G37" s="252" t="str">
        <f t="shared" si="11"/>
        <v/>
      </c>
      <c r="H37" s="393"/>
      <c r="I37" s="252">
        <f>IF(B37="〇",算定基礎!$D$16,0)</f>
        <v>0</v>
      </c>
      <c r="J37" s="344"/>
      <c r="K37" s="252" t="str">
        <f>IF(C37="以上",算定基礎!$D$17,"")</f>
        <v/>
      </c>
      <c r="L37" s="395"/>
      <c r="M37" s="347"/>
      <c r="N37" s="338"/>
      <c r="O37" s="391"/>
      <c r="P37" s="253">
        <f t="shared" si="12"/>
        <v>0</v>
      </c>
      <c r="Q37" s="253">
        <f t="shared" si="13"/>
        <v>0</v>
      </c>
      <c r="R37" s="344"/>
      <c r="S37" s="252">
        <f t="shared" ref="S37:S40" si="16">IF(D37="〇",(I37-P37)/2,0)</f>
        <v>0</v>
      </c>
      <c r="T37" s="255">
        <f t="shared" si="14"/>
        <v>0</v>
      </c>
      <c r="U37" s="380"/>
      <c r="V37" s="383"/>
      <c r="W37" s="374"/>
      <c r="X37" s="372"/>
    </row>
    <row r="38" spans="1:25" s="185" customFormat="1" ht="30" customHeight="1">
      <c r="A38" s="196" t="s">
        <v>92</v>
      </c>
      <c r="B38" s="197" t="str">
        <f t="shared" si="10"/>
        <v/>
      </c>
      <c r="C38" s="197" t="str">
        <f>IF(B38="〇",IF(OR(算定基礎!C23=2,算定基礎!C23=3,算定基礎!C23=4),"未満","以上"),"")</f>
        <v/>
      </c>
      <c r="D38" s="204" t="str">
        <f>IF(算定基礎!C23=2,"〇","")</f>
        <v/>
      </c>
      <c r="E38" s="252" t="str">
        <f t="shared" ref="E38" si="17">E8</f>
        <v/>
      </c>
      <c r="F38" s="389"/>
      <c r="G38" s="252" t="str">
        <f t="shared" si="11"/>
        <v/>
      </c>
      <c r="H38" s="393"/>
      <c r="I38" s="252">
        <f>IF(B38="〇",算定基礎!$D$16,0)</f>
        <v>0</v>
      </c>
      <c r="J38" s="344"/>
      <c r="K38" s="252" t="str">
        <f>IF(C38="以上",算定基礎!$D$17,"")</f>
        <v/>
      </c>
      <c r="L38" s="395"/>
      <c r="M38" s="347"/>
      <c r="N38" s="338"/>
      <c r="O38" s="391"/>
      <c r="P38" s="253">
        <f t="shared" si="12"/>
        <v>0</v>
      </c>
      <c r="Q38" s="253">
        <f t="shared" si="13"/>
        <v>0</v>
      </c>
      <c r="R38" s="344"/>
      <c r="S38" s="252">
        <f t="shared" si="16"/>
        <v>0</v>
      </c>
      <c r="T38" s="255">
        <f t="shared" si="14"/>
        <v>0</v>
      </c>
      <c r="U38" s="380"/>
      <c r="V38" s="383"/>
      <c r="W38" s="374"/>
      <c r="X38" s="372"/>
    </row>
    <row r="39" spans="1:25" s="185" customFormat="1" ht="30" customHeight="1">
      <c r="A39" s="196" t="s">
        <v>93</v>
      </c>
      <c r="B39" s="197" t="str">
        <f t="shared" si="10"/>
        <v/>
      </c>
      <c r="C39" s="197" t="str">
        <f>IF(B39="〇",IF(OR(算定基礎!C24=2,算定基礎!C24=3,算定基礎!C24=4),"未満","以上"),"")</f>
        <v/>
      </c>
      <c r="D39" s="204" t="str">
        <f>IF(算定基礎!C24=2,"〇","")</f>
        <v/>
      </c>
      <c r="E39" s="252" t="str">
        <f t="shared" ref="E39" si="18">E9</f>
        <v/>
      </c>
      <c r="F39" s="389"/>
      <c r="G39" s="252" t="str">
        <f t="shared" si="11"/>
        <v/>
      </c>
      <c r="H39" s="393"/>
      <c r="I39" s="252">
        <f>IF(B39="〇",算定基礎!$D$16,0)</f>
        <v>0</v>
      </c>
      <c r="J39" s="344"/>
      <c r="K39" s="252" t="str">
        <f>IF(C39="以上",算定基礎!$D$17,"")</f>
        <v/>
      </c>
      <c r="L39" s="395"/>
      <c r="M39" s="347"/>
      <c r="N39" s="338"/>
      <c r="O39" s="391"/>
      <c r="P39" s="253">
        <f>IFERROR(ROUNDUP(I39*$O$35/10,0),0)</f>
        <v>0</v>
      </c>
      <c r="Q39" s="253">
        <f t="shared" si="13"/>
        <v>0</v>
      </c>
      <c r="R39" s="344"/>
      <c r="S39" s="252">
        <f>IF(D39="〇",(I39-P39)/2,0)</f>
        <v>0</v>
      </c>
      <c r="T39" s="255">
        <f t="shared" si="14"/>
        <v>0</v>
      </c>
      <c r="U39" s="380"/>
      <c r="V39" s="383"/>
      <c r="W39" s="374"/>
      <c r="X39" s="372"/>
    </row>
    <row r="40" spans="1:25" s="185" customFormat="1" ht="30" customHeight="1" thickBot="1">
      <c r="A40" s="196" t="s">
        <v>94</v>
      </c>
      <c r="B40" s="197" t="str">
        <f t="shared" si="10"/>
        <v/>
      </c>
      <c r="C40" s="197" t="str">
        <f>IF(B40="〇",IF(OR(算定基礎!C25=2,算定基礎!C25=3,算定基礎!C25=4),"未満","以上"),"")</f>
        <v/>
      </c>
      <c r="D40" s="204" t="str">
        <f>IF(算定基礎!C25=2,"〇","")</f>
        <v/>
      </c>
      <c r="E40" s="252" t="str">
        <f t="shared" ref="E40" si="19">E10</f>
        <v/>
      </c>
      <c r="F40" s="389"/>
      <c r="G40" s="252" t="str">
        <f t="shared" si="11"/>
        <v/>
      </c>
      <c r="H40" s="393"/>
      <c r="I40" s="252">
        <f>IF(B40="〇",算定基礎!$D$16,0)</f>
        <v>0</v>
      </c>
      <c r="J40" s="345"/>
      <c r="K40" s="252" t="str">
        <f>IF(C40="以上",算定基礎!$D$17,"")</f>
        <v/>
      </c>
      <c r="L40" s="396"/>
      <c r="M40" s="348"/>
      <c r="N40" s="339"/>
      <c r="O40" s="392"/>
      <c r="P40" s="253">
        <f t="shared" si="12"/>
        <v>0</v>
      </c>
      <c r="Q40" s="253">
        <f t="shared" si="13"/>
        <v>0</v>
      </c>
      <c r="R40" s="345"/>
      <c r="S40" s="252">
        <f t="shared" si="16"/>
        <v>0</v>
      </c>
      <c r="T40" s="255">
        <f t="shared" si="14"/>
        <v>0</v>
      </c>
      <c r="U40" s="381"/>
      <c r="V40" s="384"/>
      <c r="W40" s="374"/>
      <c r="X40" s="373"/>
    </row>
    <row r="41" spans="1:25" s="188" customFormat="1" ht="28.5" customHeight="1">
      <c r="A41" s="224"/>
      <c r="B41" s="225"/>
      <c r="C41" s="225"/>
      <c r="D41" s="223"/>
      <c r="E41" s="226"/>
      <c r="F41" s="223"/>
      <c r="G41" s="223"/>
      <c r="H41" s="223"/>
      <c r="I41" s="223"/>
      <c r="J41" s="227"/>
      <c r="K41" s="227"/>
      <c r="L41" s="228"/>
      <c r="M41" s="229"/>
      <c r="N41" s="223"/>
      <c r="O41" s="223"/>
      <c r="P41" s="242">
        <f>SUM(P35:P40)</f>
        <v>677</v>
      </c>
      <c r="Q41" s="242">
        <f>SUM(Q35:Q40)</f>
        <v>51</v>
      </c>
      <c r="R41" s="242"/>
      <c r="S41" s="242">
        <f>SUM(S35:S40)</f>
        <v>0</v>
      </c>
      <c r="T41" s="242">
        <f>SUM(T35:T40)</f>
        <v>0</v>
      </c>
      <c r="U41" s="223"/>
    </row>
  </sheetData>
  <sheetProtection algorithmName="SHA-512" hashValue="z9bcvbNz4flvbJ4RKedKXvwldw9b4tlQxTn784QV5gsmPj1EmaFrhC39D/7zwZ3tg3izVBzJXkuu6MWgVuV9qQ==" saltValue="qojO2k7Yhx0vieek0G7E8A==" spinCount="100000" sheet="1" objects="1" scenarios="1"/>
  <mergeCells count="94">
    <mergeCell ref="R3:R4"/>
    <mergeCell ref="A33:D33"/>
    <mergeCell ref="R23:R24"/>
    <mergeCell ref="S23:S24"/>
    <mergeCell ref="S33:S34"/>
    <mergeCell ref="O33:R33"/>
    <mergeCell ref="E23:H23"/>
    <mergeCell ref="I23:J23"/>
    <mergeCell ref="P23:P24"/>
    <mergeCell ref="Q23:Q24"/>
    <mergeCell ref="E33:H33"/>
    <mergeCell ref="I33:J33"/>
    <mergeCell ref="A32:D32"/>
    <mergeCell ref="Q25:Q30"/>
    <mergeCell ref="Q3:Q4"/>
    <mergeCell ref="P25:P30"/>
    <mergeCell ref="T5:T10"/>
    <mergeCell ref="U5:U10"/>
    <mergeCell ref="E3:H3"/>
    <mergeCell ref="H5:H10"/>
    <mergeCell ref="I3:J3"/>
    <mergeCell ref="J5:J10"/>
    <mergeCell ref="T3:T4"/>
    <mergeCell ref="U3:U4"/>
    <mergeCell ref="F5:F10"/>
    <mergeCell ref="K5:K10"/>
    <mergeCell ref="M5:M10"/>
    <mergeCell ref="O5:O10"/>
    <mergeCell ref="S5:S10"/>
    <mergeCell ref="S3:S4"/>
    <mergeCell ref="Q5:Q10"/>
    <mergeCell ref="R5:R10"/>
    <mergeCell ref="O35:O40"/>
    <mergeCell ref="T15:T20"/>
    <mergeCell ref="U15:U20"/>
    <mergeCell ref="L13:L14"/>
    <mergeCell ref="M13:O13"/>
    <mergeCell ref="P13:P14"/>
    <mergeCell ref="T13:T14"/>
    <mergeCell ref="U13:U14"/>
    <mergeCell ref="L15:L20"/>
    <mergeCell ref="O15:O20"/>
    <mergeCell ref="M15:M20"/>
    <mergeCell ref="R13:R14"/>
    <mergeCell ref="S13:S14"/>
    <mergeCell ref="R15:R20"/>
    <mergeCell ref="Q15:Q20"/>
    <mergeCell ref="S15:S20"/>
    <mergeCell ref="F35:F40"/>
    <mergeCell ref="N33:N34"/>
    <mergeCell ref="L25:L30"/>
    <mergeCell ref="M25:M30"/>
    <mergeCell ref="F25:F30"/>
    <mergeCell ref="M35:M40"/>
    <mergeCell ref="J35:J40"/>
    <mergeCell ref="H35:H40"/>
    <mergeCell ref="K33:L33"/>
    <mergeCell ref="L35:L40"/>
    <mergeCell ref="N35:N40"/>
    <mergeCell ref="H25:H30"/>
    <mergeCell ref="J25:J30"/>
    <mergeCell ref="K25:K30"/>
    <mergeCell ref="X35:X40"/>
    <mergeCell ref="R25:R30"/>
    <mergeCell ref="S25:S30"/>
    <mergeCell ref="U33:U34"/>
    <mergeCell ref="V33:V34"/>
    <mergeCell ref="U35:U40"/>
    <mergeCell ref="V35:V40"/>
    <mergeCell ref="X33:X34"/>
    <mergeCell ref="W33:W34"/>
    <mergeCell ref="R35:R40"/>
    <mergeCell ref="W35:W40"/>
    <mergeCell ref="T33:T34"/>
    <mergeCell ref="O25:O30"/>
    <mergeCell ref="A2:D2"/>
    <mergeCell ref="A12:D12"/>
    <mergeCell ref="I13:J13"/>
    <mergeCell ref="E13:H13"/>
    <mergeCell ref="A22:D22"/>
    <mergeCell ref="A13:D13"/>
    <mergeCell ref="L23:L24"/>
    <mergeCell ref="M23:O23"/>
    <mergeCell ref="F15:F20"/>
    <mergeCell ref="A23:D23"/>
    <mergeCell ref="P3:P4"/>
    <mergeCell ref="L5:L10"/>
    <mergeCell ref="Q13:Q14"/>
    <mergeCell ref="A3:D3"/>
    <mergeCell ref="J15:J20"/>
    <mergeCell ref="H15:H20"/>
    <mergeCell ref="K15:K20"/>
    <mergeCell ref="L3:L4"/>
    <mergeCell ref="M3:O3"/>
  </mergeCells>
  <phoneticPr fontId="2"/>
  <pageMargins left="0.7" right="0.7" top="0.75" bottom="0.75" header="0.3" footer="0.3"/>
  <pageSetup paperSize="9" scale="26"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053D-F6A4-4F6F-ACD2-969B91EDD09A}">
  <sheetPr>
    <pageSetUpPr fitToPage="1"/>
  </sheetPr>
  <dimension ref="A2:T44"/>
  <sheetViews>
    <sheetView zoomScale="78" zoomScaleNormal="78" workbookViewId="0">
      <selection activeCell="C20" sqref="C20"/>
    </sheetView>
  </sheetViews>
  <sheetFormatPr defaultRowHeight="15.75"/>
  <cols>
    <col min="1" max="1" width="9" style="9"/>
    <col min="2" max="2" width="16.25" style="9" customWidth="1"/>
    <col min="3" max="3" width="18.75" style="9" customWidth="1"/>
    <col min="4" max="4" width="14.875" style="9" bestFit="1" customWidth="1"/>
    <col min="5" max="5" width="15.375" style="9" bestFit="1" customWidth="1"/>
    <col min="6" max="6" width="17.75" style="9" customWidth="1"/>
    <col min="7" max="7" width="26.25" style="9" customWidth="1"/>
    <col min="8" max="8" width="21.625" style="9" bestFit="1" customWidth="1"/>
    <col min="9" max="9" width="16.875" style="9" customWidth="1"/>
    <col min="10" max="10" width="13.125" style="9" bestFit="1" customWidth="1"/>
    <col min="11" max="11" width="21.375" style="9" bestFit="1" customWidth="1"/>
    <col min="12" max="12" width="17.5" style="9" customWidth="1"/>
    <col min="13" max="13" width="14.375" style="9" customWidth="1"/>
    <col min="14" max="14" width="26.375" style="9" customWidth="1"/>
    <col min="15" max="15" width="23.375" style="9" customWidth="1"/>
    <col min="16" max="16" width="21.375" style="9" customWidth="1"/>
    <col min="17" max="17" width="22" style="9" customWidth="1"/>
    <col min="18" max="18" width="16.25" style="9" bestFit="1" customWidth="1"/>
    <col min="19" max="20" width="17.625" style="9" customWidth="1"/>
    <col min="21" max="21" width="13.625" style="9" customWidth="1"/>
    <col min="22" max="22" width="14.625" style="9" customWidth="1"/>
    <col min="23" max="16384" width="9" style="9"/>
  </cols>
  <sheetData>
    <row r="2" spans="1:19" ht="31.5">
      <c r="A2" s="97" t="s">
        <v>0</v>
      </c>
      <c r="B2" s="97"/>
      <c r="C2" s="98" t="s">
        <v>58</v>
      </c>
      <c r="D2" s="97"/>
      <c r="E2" s="98" t="s">
        <v>59</v>
      </c>
      <c r="G2" s="54"/>
      <c r="K2" s="49" t="s">
        <v>52</v>
      </c>
      <c r="L2" s="49" t="s">
        <v>53</v>
      </c>
      <c r="M2" s="45" t="s">
        <v>41</v>
      </c>
      <c r="N2" s="45" t="s">
        <v>50</v>
      </c>
      <c r="O2" s="61" t="s">
        <v>74</v>
      </c>
      <c r="P2" s="65" t="s">
        <v>51</v>
      </c>
      <c r="Q2" s="64" t="s">
        <v>75</v>
      </c>
      <c r="R2" s="49" t="s">
        <v>54</v>
      </c>
    </row>
    <row r="3" spans="1:19">
      <c r="A3" s="99" t="s">
        <v>55</v>
      </c>
      <c r="B3" s="100">
        <v>1</v>
      </c>
      <c r="C3" s="101" t="s">
        <v>66</v>
      </c>
      <c r="D3" s="95">
        <v>1</v>
      </c>
      <c r="E3" s="101" t="s">
        <v>7</v>
      </c>
      <c r="F3" s="95">
        <v>1</v>
      </c>
      <c r="G3" s="76"/>
      <c r="J3" s="32" t="str">
        <f>IF(P3&gt;0,IF(L3=TRUE,"世帯主 ",""),"")</f>
        <v/>
      </c>
      <c r="K3" s="10" t="b">
        <v>0</v>
      </c>
      <c r="L3" s="10" t="b">
        <f>AND(K3=TRUE,C20&lt;6)</f>
        <v>0</v>
      </c>
      <c r="M3" s="41">
        <f>VLOOKUP(試算シート!R10,所得計算!B3:C13,2,1)</f>
        <v>0</v>
      </c>
      <c r="N3" s="42">
        <f>IF(AND(M3&gt;0,G20&gt;0),IF(IF(M3&gt;100000,100000,M3)+IF(G20&gt;100000,100000,G20)&gt;100000,IF(M3&gt;100000,100000,M3)+IF(G20&gt;100000,100000,G20)-100000,M3),0)</f>
        <v>0</v>
      </c>
      <c r="O3" s="62">
        <f>IF(AND(M3&gt;0,H20&gt;0),IF(IF(M3&gt;100000,100000,M3)+IF(H20&gt;100000,100000,H20)&gt;100000,IF(M3&gt;100000,100000,M3)+IF(H20&gt;100000,100000,H20)-100000,M3),0)</f>
        <v>0</v>
      </c>
      <c r="P3" s="41">
        <f t="shared" ref="P3:P8" si="0">M3-N3</f>
        <v>0</v>
      </c>
      <c r="Q3" s="63">
        <f>M3-O3</f>
        <v>0</v>
      </c>
      <c r="R3" s="43">
        <f>IF(L3=TRUE,P3*0.3,P3)</f>
        <v>0</v>
      </c>
    </row>
    <row r="4" spans="1:19">
      <c r="A4" s="99" t="s">
        <v>7</v>
      </c>
      <c r="B4" s="100">
        <v>2</v>
      </c>
      <c r="C4" s="101" t="s">
        <v>62</v>
      </c>
      <c r="D4" s="95">
        <v>2</v>
      </c>
      <c r="E4" s="101" t="s">
        <v>68</v>
      </c>
      <c r="F4" s="95">
        <v>2</v>
      </c>
      <c r="G4" s="76"/>
      <c r="J4" s="32" t="str">
        <f>IF(D21=1,IF(P4&gt;0,IF(L4=TRUE,"加入者１ ",""),""),"")</f>
        <v/>
      </c>
      <c r="K4" s="10" t="b">
        <v>0</v>
      </c>
      <c r="L4" s="10" t="b">
        <f>AND(D21=1,K4=TRUE,C21&gt;1,C21&lt;7)</f>
        <v>0</v>
      </c>
      <c r="M4" s="41">
        <f>VLOOKUP(試算シート!R12,所得計算!B16:C21,2,1)</f>
        <v>0</v>
      </c>
      <c r="N4" s="42">
        <f t="shared" ref="N4:N8" si="1">IF(AND(M4&gt;0,G21&gt;0),IF(IF(M4&gt;100000,100000,M4)+IF(G21&gt;100000,100000,G21)&gt;100000,IF(M4&gt;100000,100000,M4)+IF(G21&gt;100000,100000,G21)-100000,M4),0)</f>
        <v>0</v>
      </c>
      <c r="O4" s="62">
        <f t="shared" ref="O4:O8" si="2">IF(AND(M4&gt;0,H21&gt;0),IF(IF(M4&gt;100000,100000,M4)+IF(H21&gt;100000,100000,H21)&gt;100000,IF(M4&gt;100000,100000,M4)+IF(H21&gt;100000,100000,H21)-100000,M4),0)</f>
        <v>0</v>
      </c>
      <c r="P4" s="41">
        <f t="shared" si="0"/>
        <v>0</v>
      </c>
      <c r="Q4" s="63">
        <f t="shared" ref="Q4:Q8" si="3">M4-O4</f>
        <v>0</v>
      </c>
      <c r="R4" s="43">
        <f>IF(L4=TRUE,P4*0.3,P4)</f>
        <v>0</v>
      </c>
      <c r="S4" s="9" t="str">
        <f>IF(J4="","",IF(J3="","加入者１","、加入者１"))</f>
        <v/>
      </c>
    </row>
    <row r="5" spans="1:19">
      <c r="A5" s="102"/>
      <c r="B5" s="103"/>
      <c r="C5" s="101" t="s">
        <v>195</v>
      </c>
      <c r="D5" s="95">
        <v>3</v>
      </c>
      <c r="E5" s="101" t="s">
        <v>62</v>
      </c>
      <c r="F5" s="95">
        <v>3</v>
      </c>
      <c r="G5" s="76"/>
      <c r="J5" s="32" t="str">
        <f>IF(D22=1,IF(P5&gt;0,IF(L5=TRUE,"加入者２ ",""),""),"")</f>
        <v/>
      </c>
      <c r="K5" s="10" t="b">
        <v>0</v>
      </c>
      <c r="L5" s="10" t="b">
        <f>AND(D22=1,K5=TRUE,C22&gt;1,C22&lt;7)</f>
        <v>0</v>
      </c>
      <c r="M5" s="41">
        <f>VLOOKUP(試算シート!R14,所得計算!B29:C34,2,1)</f>
        <v>0</v>
      </c>
      <c r="N5" s="42">
        <f t="shared" si="1"/>
        <v>0</v>
      </c>
      <c r="O5" s="62">
        <f t="shared" si="2"/>
        <v>0</v>
      </c>
      <c r="P5" s="41">
        <f t="shared" si="0"/>
        <v>0</v>
      </c>
      <c r="Q5" s="63">
        <f t="shared" si="3"/>
        <v>0</v>
      </c>
      <c r="R5" s="43">
        <f t="shared" ref="R5:R8" si="4">IF(L5=TRUE,P5*0.3,P5)</f>
        <v>0</v>
      </c>
      <c r="S5" s="9" t="str">
        <f>IF(J5="","",IF(AND(J3="",J4=""),"加入者２","、加入者２"))</f>
        <v/>
      </c>
    </row>
    <row r="6" spans="1:19">
      <c r="A6" s="97"/>
      <c r="B6" s="97"/>
      <c r="C6" s="101" t="s">
        <v>76</v>
      </c>
      <c r="D6" s="95">
        <v>4</v>
      </c>
      <c r="E6" s="101" t="s">
        <v>195</v>
      </c>
      <c r="F6" s="95">
        <v>4</v>
      </c>
      <c r="G6" s="12"/>
      <c r="J6" s="32" t="str">
        <f>IF(D23=1,IF(P6&gt;0,IF(L6=TRUE,"加入者３ ",""),""),"")</f>
        <v/>
      </c>
      <c r="K6" s="10" t="b">
        <v>0</v>
      </c>
      <c r="L6" s="10" t="b">
        <f>AND(D23=1,K6=TRUE,C23&gt;1,C23&lt;7)</f>
        <v>0</v>
      </c>
      <c r="M6" s="41">
        <f>VLOOKUP(試算シート!R16,所得計算!B42:C47,2,1)</f>
        <v>0</v>
      </c>
      <c r="N6" s="42">
        <f t="shared" si="1"/>
        <v>0</v>
      </c>
      <c r="O6" s="62">
        <f t="shared" si="2"/>
        <v>0</v>
      </c>
      <c r="P6" s="41">
        <f t="shared" si="0"/>
        <v>0</v>
      </c>
      <c r="Q6" s="63">
        <f t="shared" si="3"/>
        <v>0</v>
      </c>
      <c r="R6" s="43">
        <f t="shared" si="4"/>
        <v>0</v>
      </c>
      <c r="S6" s="9" t="str">
        <f>IF(J6="","",IF(AND(J3="",J4="",J5=""),"加入者３","、加入者３"))</f>
        <v/>
      </c>
    </row>
    <row r="7" spans="1:19">
      <c r="A7" s="97"/>
      <c r="B7" s="97"/>
      <c r="C7" s="101" t="s">
        <v>63</v>
      </c>
      <c r="D7" s="95">
        <v>5</v>
      </c>
      <c r="E7" s="101" t="s">
        <v>76</v>
      </c>
      <c r="F7" s="95">
        <v>5</v>
      </c>
      <c r="J7" s="32" t="str">
        <f>IF(D24=1,IF(P7&gt;0,IF(L7=TRUE,"加入者４ ",""),""),"")</f>
        <v/>
      </c>
      <c r="K7" s="10" t="b">
        <v>0</v>
      </c>
      <c r="L7" s="10" t="b">
        <f>AND(D24=1,K7=TRUE,C24&gt;1,C24&lt;7)</f>
        <v>0</v>
      </c>
      <c r="M7" s="41">
        <f>VLOOKUP(試算シート!R18,所得計算!B55:C60,2,1)</f>
        <v>0</v>
      </c>
      <c r="N7" s="42">
        <f t="shared" si="1"/>
        <v>0</v>
      </c>
      <c r="O7" s="62">
        <f t="shared" si="2"/>
        <v>0</v>
      </c>
      <c r="P7" s="41">
        <f t="shared" si="0"/>
        <v>0</v>
      </c>
      <c r="Q7" s="63">
        <f t="shared" si="3"/>
        <v>0</v>
      </c>
      <c r="R7" s="43">
        <f t="shared" si="4"/>
        <v>0</v>
      </c>
      <c r="S7" s="9" t="str">
        <f>IF(J7="","",IF(AND(J3="",J4="",J5="",J6=""),"加入者４","、加入者４"))</f>
        <v/>
      </c>
    </row>
    <row r="8" spans="1:19">
      <c r="A8" s="97"/>
      <c r="B8" s="97"/>
      <c r="C8" s="101" t="s">
        <v>64</v>
      </c>
      <c r="D8" s="95">
        <v>6</v>
      </c>
      <c r="E8" s="104" t="s">
        <v>63</v>
      </c>
      <c r="F8" s="95">
        <v>6</v>
      </c>
      <c r="J8" s="32" t="str">
        <f>IF(D25=1,IF(P8&gt;0,IF(L8=TRUE,"加入者５ ",""),""),"")</f>
        <v/>
      </c>
      <c r="K8" s="10" t="b">
        <v>0</v>
      </c>
      <c r="L8" s="10" t="b">
        <f>AND(D25=1,K8=TRUE,C25&gt;1,C25&lt;7)</f>
        <v>0</v>
      </c>
      <c r="M8" s="41">
        <f>VLOOKUP(試算シート!R20,所得計算!B68:C73,2,1)</f>
        <v>0</v>
      </c>
      <c r="N8" s="42">
        <f t="shared" si="1"/>
        <v>0</v>
      </c>
      <c r="O8" s="62">
        <f t="shared" si="2"/>
        <v>0</v>
      </c>
      <c r="P8" s="41">
        <f t="shared" si="0"/>
        <v>0</v>
      </c>
      <c r="Q8" s="63">
        <f t="shared" si="3"/>
        <v>0</v>
      </c>
      <c r="R8" s="43">
        <f t="shared" si="4"/>
        <v>0</v>
      </c>
      <c r="S8" s="9" t="str">
        <f>IF(J8="","",IF(AND(J3="",J4="",J5="",J6="",J7=""),"加入者５","、加入者５"))</f>
        <v/>
      </c>
    </row>
    <row r="9" spans="1:19">
      <c r="A9" s="97"/>
      <c r="B9" s="97"/>
      <c r="C9" s="101" t="s">
        <v>56</v>
      </c>
      <c r="D9" s="96">
        <v>7</v>
      </c>
      <c r="E9" s="101" t="s">
        <v>64</v>
      </c>
      <c r="F9" s="96">
        <v>7</v>
      </c>
      <c r="J9" s="8" t="s">
        <v>159</v>
      </c>
      <c r="K9" s="8">
        <f>COUNTIF(K3:K8,"TRUE")</f>
        <v>0</v>
      </c>
      <c r="L9" s="67"/>
      <c r="M9" s="70"/>
      <c r="N9" s="71"/>
      <c r="O9" s="71"/>
      <c r="P9" s="68"/>
      <c r="Q9" s="68"/>
      <c r="R9" s="69"/>
    </row>
    <row r="10" spans="1:19">
      <c r="B10" s="12"/>
      <c r="C10" s="8"/>
      <c r="H10" s="8"/>
      <c r="I10" s="8"/>
      <c r="J10" s="8"/>
      <c r="K10" s="8"/>
      <c r="L10" s="39"/>
      <c r="M10" s="37"/>
      <c r="N10" s="38"/>
      <c r="O10" s="8"/>
    </row>
    <row r="11" spans="1:19" ht="30" customHeight="1">
      <c r="B11" s="115" t="s">
        <v>22</v>
      </c>
      <c r="C11" s="13"/>
      <c r="D11" s="13"/>
      <c r="E11" s="13"/>
      <c r="F11" s="13"/>
      <c r="L11" s="39"/>
    </row>
    <row r="12" spans="1:19" ht="30" customHeight="1">
      <c r="B12" s="50"/>
      <c r="C12" s="51" t="s">
        <v>13</v>
      </c>
      <c r="D12" s="51" t="s">
        <v>16</v>
      </c>
      <c r="E12" s="51" t="s">
        <v>72</v>
      </c>
      <c r="F12" s="52" t="s">
        <v>17</v>
      </c>
      <c r="G12" s="52" t="s">
        <v>26</v>
      </c>
    </row>
    <row r="13" spans="1:19" ht="30" customHeight="1">
      <c r="B13" s="14" t="s">
        <v>71</v>
      </c>
      <c r="C13" s="15">
        <v>5.5800000000000002E-2</v>
      </c>
      <c r="D13" s="16">
        <v>19807</v>
      </c>
      <c r="E13" s="16">
        <v>18664</v>
      </c>
      <c r="F13" s="16">
        <v>670000</v>
      </c>
      <c r="G13" s="36">
        <v>430000</v>
      </c>
      <c r="H13" s="66"/>
    </row>
    <row r="14" spans="1:19" ht="30" customHeight="1">
      <c r="B14" s="14" t="s">
        <v>18</v>
      </c>
      <c r="C14" s="17">
        <v>3.1399999999999997E-2</v>
      </c>
      <c r="D14" s="18">
        <v>10441</v>
      </c>
      <c r="E14" s="18">
        <v>9838</v>
      </c>
      <c r="F14" s="18">
        <v>260000</v>
      </c>
      <c r="G14" s="19"/>
    </row>
    <row r="15" spans="1:19" ht="30" customHeight="1">
      <c r="B15" s="14" t="s">
        <v>10</v>
      </c>
      <c r="C15" s="20">
        <v>2.6100000000000002E-2</v>
      </c>
      <c r="D15" s="21">
        <v>10160</v>
      </c>
      <c r="E15" s="21">
        <v>7751</v>
      </c>
      <c r="F15" s="21">
        <v>170000</v>
      </c>
      <c r="G15" s="19"/>
    </row>
    <row r="16" spans="1:19" ht="30" customHeight="1">
      <c r="B16" s="420" t="s">
        <v>91</v>
      </c>
      <c r="C16" s="92">
        <v>2.8E-3</v>
      </c>
      <c r="D16" s="93">
        <v>967</v>
      </c>
      <c r="E16" s="93">
        <v>911</v>
      </c>
      <c r="F16" s="93">
        <v>30000</v>
      </c>
      <c r="G16" s="94"/>
    </row>
    <row r="17" spans="1:20" ht="32.25" customHeight="1">
      <c r="B17" s="420"/>
      <c r="C17" s="73" t="s">
        <v>147</v>
      </c>
      <c r="D17" s="78">
        <v>72</v>
      </c>
      <c r="E17" s="74"/>
      <c r="F17" s="74"/>
      <c r="G17" s="74"/>
      <c r="O17" s="241" t="s">
        <v>189</v>
      </c>
    </row>
    <row r="18" spans="1:20">
      <c r="C18" s="40" t="s">
        <v>60</v>
      </c>
      <c r="N18" s="9" t="s">
        <v>155</v>
      </c>
      <c r="O18" s="9" t="s">
        <v>188</v>
      </c>
      <c r="P18" s="9" t="s">
        <v>154</v>
      </c>
    </row>
    <row r="19" spans="1:20">
      <c r="A19" s="9" t="s">
        <v>57</v>
      </c>
      <c r="B19" s="46"/>
      <c r="C19" s="105" t="s">
        <v>24</v>
      </c>
      <c r="D19" s="105" t="s">
        <v>116</v>
      </c>
      <c r="E19" s="105" t="s">
        <v>23</v>
      </c>
      <c r="F19" s="45" t="s">
        <v>41</v>
      </c>
      <c r="G19" s="45" t="s">
        <v>42</v>
      </c>
      <c r="H19" s="61" t="s">
        <v>73</v>
      </c>
      <c r="I19" s="45" t="s">
        <v>40</v>
      </c>
      <c r="J19" s="45" t="s">
        <v>6</v>
      </c>
      <c r="K19" s="45" t="s">
        <v>49</v>
      </c>
      <c r="L19" s="61" t="s">
        <v>114</v>
      </c>
      <c r="M19" s="72"/>
      <c r="N19" s="61" t="s">
        <v>187</v>
      </c>
      <c r="O19" s="109" t="s">
        <v>48</v>
      </c>
      <c r="P19" s="110" t="s">
        <v>144</v>
      </c>
      <c r="Q19" s="110" t="s">
        <v>145</v>
      </c>
    </row>
    <row r="20" spans="1:20">
      <c r="A20" s="9">
        <v>1</v>
      </c>
      <c r="B20" s="22" t="s">
        <v>0</v>
      </c>
      <c r="C20" s="106">
        <v>4</v>
      </c>
      <c r="D20" s="107">
        <f>IF(OR(A20=2,C20=7),0,1)</f>
        <v>1</v>
      </c>
      <c r="E20" s="107">
        <f>IF(A20=2,0,IF(C20=5,1,0))</f>
        <v>0</v>
      </c>
      <c r="F20" s="57">
        <f>R3</f>
        <v>0</v>
      </c>
      <c r="G20" s="80">
        <f>IF(C20&gt;5,VLOOKUP(試算シート!Y10,所得計算!G4:H8,2,1),VLOOKUP(試算シート!Y10,所得計算!E4:F8,2,1))</f>
        <v>0</v>
      </c>
      <c r="H20" s="81">
        <f>IF(C20&lt;6,G20,MAX(G20-150000,0))</f>
        <v>0</v>
      </c>
      <c r="I20" s="57">
        <f>試算シート!AF10</f>
        <v>0</v>
      </c>
      <c r="J20" s="58">
        <f>F20+G20+I20</f>
        <v>0</v>
      </c>
      <c r="K20" s="79">
        <f>IF(C20&lt;6,F20+G20+I20,Q3+H20+I20)</f>
        <v>0</v>
      </c>
      <c r="L20" s="121">
        <f>IF(J20-430000&gt;0,J20-430000,0)</f>
        <v>0</v>
      </c>
      <c r="M20" s="75"/>
      <c r="N20" s="240">
        <f>試算シート!R10</f>
        <v>0</v>
      </c>
      <c r="O20" s="111">
        <f t="shared" ref="O20:O25" si="5">IF(OR(N20&gt;550000,G20&gt;0,0),1,0)</f>
        <v>0</v>
      </c>
      <c r="P20" s="111">
        <f>IF(C20=2,1,0)</f>
        <v>0</v>
      </c>
      <c r="Q20" s="111">
        <f>IF(C20=1,1,0)</f>
        <v>0</v>
      </c>
    </row>
    <row r="21" spans="1:20">
      <c r="A21" s="60"/>
      <c r="B21" s="23" t="s">
        <v>1</v>
      </c>
      <c r="C21" s="106">
        <v>1</v>
      </c>
      <c r="D21" s="107">
        <f>IF(C21=1,0,1)</f>
        <v>0</v>
      </c>
      <c r="E21" s="107">
        <f>IF(C21=6,1,0)</f>
        <v>0</v>
      </c>
      <c r="F21" s="57">
        <f>IF(D21=0,0,R4)</f>
        <v>0</v>
      </c>
      <c r="G21" s="80">
        <f>IF(D21=0,0,IF(C21=7,VLOOKUP(試算シート!Y12,所得計算!G17:H21,2,1),VLOOKUP(試算シート!Y12,所得計算!E17:F21,2,1)))</f>
        <v>0</v>
      </c>
      <c r="H21" s="81">
        <f>IF(C21&lt;7,G21,MAX(G21-150000,0))</f>
        <v>0</v>
      </c>
      <c r="I21" s="57">
        <f>IF(D21=0,0,試算シート!AF12)</f>
        <v>0</v>
      </c>
      <c r="J21" s="58">
        <f t="shared" ref="J21:J25" si="6">F21+G21+I21</f>
        <v>0</v>
      </c>
      <c r="K21" s="79">
        <f t="shared" ref="K21:K24" si="7">IF(C21&lt;6,F21+G21+I21,Q4+H21+I21)</f>
        <v>0</v>
      </c>
      <c r="L21" s="121">
        <f t="shared" ref="L21:L25" si="8">IF(J21-430000&gt;0,J21-430000,0)</f>
        <v>0</v>
      </c>
      <c r="M21" s="75"/>
      <c r="N21" s="240">
        <f>試算シート!R12</f>
        <v>0</v>
      </c>
      <c r="O21" s="111">
        <f t="shared" si="5"/>
        <v>0</v>
      </c>
      <c r="P21" s="111">
        <f>IF(C21=3,1,0)</f>
        <v>0</v>
      </c>
      <c r="Q21" s="111">
        <f>IF(C21=2,1,0)</f>
        <v>0</v>
      </c>
    </row>
    <row r="22" spans="1:20">
      <c r="A22" s="60"/>
      <c r="B22" s="23" t="s">
        <v>2</v>
      </c>
      <c r="C22" s="106">
        <v>1</v>
      </c>
      <c r="D22" s="107">
        <f t="shared" ref="D22:D25" si="9">IF(C22=1,0,1)</f>
        <v>0</v>
      </c>
      <c r="E22" s="107">
        <f>IF(C22=6,1,0)</f>
        <v>0</v>
      </c>
      <c r="F22" s="57">
        <f>IF(D22=0,0,R5)</f>
        <v>0</v>
      </c>
      <c r="G22" s="80">
        <f>IF(D22=0,0,IF(C22=7,VLOOKUP(試算シート!Y14,所得計算!G30:H34,2,1),VLOOKUP(試算シート!Y14,所得計算!E30:F34,2,1)))</f>
        <v>0</v>
      </c>
      <c r="H22" s="81">
        <f>IF(C22&lt;7,G22,MAX(G22-150000,0))</f>
        <v>0</v>
      </c>
      <c r="I22" s="57">
        <f>IF(D22=0,0,試算シート!AF14)</f>
        <v>0</v>
      </c>
      <c r="J22" s="58">
        <f t="shared" si="6"/>
        <v>0</v>
      </c>
      <c r="K22" s="79">
        <f t="shared" si="7"/>
        <v>0</v>
      </c>
      <c r="L22" s="121">
        <f t="shared" si="8"/>
        <v>0</v>
      </c>
      <c r="M22" s="75"/>
      <c r="N22" s="240">
        <f>試算シート!R14</f>
        <v>0</v>
      </c>
      <c r="O22" s="111">
        <f t="shared" si="5"/>
        <v>0</v>
      </c>
      <c r="P22" s="111">
        <f t="shared" ref="P22:P25" si="10">IF(C22=3,1,0)</f>
        <v>0</v>
      </c>
      <c r="Q22" s="111">
        <f t="shared" ref="Q22:Q25" si="11">IF(C22=2,1,0)</f>
        <v>0</v>
      </c>
    </row>
    <row r="23" spans="1:20">
      <c r="A23" s="60"/>
      <c r="B23" s="23" t="s">
        <v>3</v>
      </c>
      <c r="C23" s="106">
        <v>1</v>
      </c>
      <c r="D23" s="107">
        <f t="shared" si="9"/>
        <v>0</v>
      </c>
      <c r="E23" s="107">
        <f>IF(C23=6,1,0)</f>
        <v>0</v>
      </c>
      <c r="F23" s="57">
        <f>IF(D23=0,0,R6)</f>
        <v>0</v>
      </c>
      <c r="G23" s="80">
        <f>IF(D23=0,0,IF(C23=7,VLOOKUP(試算シート!Y16,所得計算!G43:H47,2,1),VLOOKUP(試算シート!Y16,所得計算!E43:F47,2,1)))</f>
        <v>0</v>
      </c>
      <c r="H23" s="81">
        <f>IF(C23&lt;7,G23,MAX(G23-150000,0))</f>
        <v>0</v>
      </c>
      <c r="I23" s="57">
        <f>IF(D23=0,0,試算シート!AF16)</f>
        <v>0</v>
      </c>
      <c r="J23" s="58">
        <f t="shared" si="6"/>
        <v>0</v>
      </c>
      <c r="K23" s="79">
        <f t="shared" si="7"/>
        <v>0</v>
      </c>
      <c r="L23" s="121">
        <f t="shared" si="8"/>
        <v>0</v>
      </c>
      <c r="M23" s="75"/>
      <c r="N23" s="240">
        <f>試算シート!R16</f>
        <v>0</v>
      </c>
      <c r="O23" s="111">
        <f t="shared" si="5"/>
        <v>0</v>
      </c>
      <c r="P23" s="111">
        <f t="shared" si="10"/>
        <v>0</v>
      </c>
      <c r="Q23" s="111">
        <f t="shared" si="11"/>
        <v>0</v>
      </c>
    </row>
    <row r="24" spans="1:20">
      <c r="A24" s="60"/>
      <c r="B24" s="23" t="s">
        <v>4</v>
      </c>
      <c r="C24" s="106">
        <v>1</v>
      </c>
      <c r="D24" s="107">
        <f t="shared" si="9"/>
        <v>0</v>
      </c>
      <c r="E24" s="107">
        <f>IF(C24=6,1,0)</f>
        <v>0</v>
      </c>
      <c r="F24" s="57">
        <f>IF(D24=0,0,R7)</f>
        <v>0</v>
      </c>
      <c r="G24" s="80">
        <f>IF(D24=0,0,IF(C24=7,VLOOKUP(試算シート!Y18,所得計算!G56:H60,2,1),VLOOKUP(試算シート!Y18,所得計算!E56:F60,2,1)))</f>
        <v>0</v>
      </c>
      <c r="H24" s="81">
        <f>IF(C24&lt;7,G24,MAX(G24-150000,0))</f>
        <v>0</v>
      </c>
      <c r="I24" s="57">
        <f>IF(D24=0,0,試算シート!AF18)</f>
        <v>0</v>
      </c>
      <c r="J24" s="58">
        <f t="shared" si="6"/>
        <v>0</v>
      </c>
      <c r="K24" s="79">
        <f t="shared" si="7"/>
        <v>0</v>
      </c>
      <c r="L24" s="121">
        <f t="shared" si="8"/>
        <v>0</v>
      </c>
      <c r="M24" s="75"/>
      <c r="N24" s="240">
        <f>試算シート!R18</f>
        <v>0</v>
      </c>
      <c r="O24" s="111">
        <f t="shared" si="5"/>
        <v>0</v>
      </c>
      <c r="P24" s="111">
        <f t="shared" si="10"/>
        <v>0</v>
      </c>
      <c r="Q24" s="111">
        <f t="shared" si="11"/>
        <v>0</v>
      </c>
    </row>
    <row r="25" spans="1:20">
      <c r="A25" s="60"/>
      <c r="B25" s="23" t="s">
        <v>5</v>
      </c>
      <c r="C25" s="106">
        <v>1</v>
      </c>
      <c r="D25" s="107">
        <f t="shared" si="9"/>
        <v>0</v>
      </c>
      <c r="E25" s="107">
        <f>IF(C25=6,1,0)</f>
        <v>0</v>
      </c>
      <c r="F25" s="57">
        <f>IF(D25=0,0,R8)</f>
        <v>0</v>
      </c>
      <c r="G25" s="80">
        <f>IF(D25=0,0,IF(C25=7,VLOOKUP(試算シート!Y20,所得計算!G69:H73,2,1),VLOOKUP(試算シート!Y20,所得計算!E69:F73,2,1)))</f>
        <v>0</v>
      </c>
      <c r="H25" s="81">
        <f>IF(C25&lt;7,G25,MAX(G25-150000,0))</f>
        <v>0</v>
      </c>
      <c r="I25" s="57">
        <f>IF(D25=0,0,試算シート!AF20)</f>
        <v>0</v>
      </c>
      <c r="J25" s="58">
        <f t="shared" si="6"/>
        <v>0</v>
      </c>
      <c r="K25" s="79">
        <f>IF(C25&lt;6,F25+G25+I25,Q8+H25+I25)</f>
        <v>0</v>
      </c>
      <c r="L25" s="121">
        <f t="shared" si="8"/>
        <v>0</v>
      </c>
      <c r="M25" s="75"/>
      <c r="N25" s="240">
        <f>試算シート!R20</f>
        <v>0</v>
      </c>
      <c r="O25" s="111">
        <f t="shared" si="5"/>
        <v>0</v>
      </c>
      <c r="P25" s="111">
        <f t="shared" si="10"/>
        <v>0</v>
      </c>
      <c r="Q25" s="111">
        <f t="shared" si="11"/>
        <v>0</v>
      </c>
    </row>
    <row r="26" spans="1:20">
      <c r="B26" s="23" t="s">
        <v>12</v>
      </c>
      <c r="C26" s="106"/>
      <c r="D26" s="108">
        <f t="shared" ref="D26:I26" si="12">SUM(D20:D25)</f>
        <v>1</v>
      </c>
      <c r="E26" s="108">
        <f>SUM(E20:E25)</f>
        <v>0</v>
      </c>
      <c r="F26" s="57">
        <f t="shared" si="12"/>
        <v>0</v>
      </c>
      <c r="G26" s="80">
        <f t="shared" si="12"/>
        <v>0</v>
      </c>
      <c r="H26" s="80">
        <f t="shared" si="12"/>
        <v>0</v>
      </c>
      <c r="I26" s="57">
        <f t="shared" si="12"/>
        <v>0</v>
      </c>
      <c r="J26" s="58">
        <f>SUM(F26:I26)</f>
        <v>0</v>
      </c>
      <c r="K26" s="58">
        <f>SUM(K20:K25)</f>
        <v>0</v>
      </c>
      <c r="L26" s="121">
        <f>SUM(L20:L25)</f>
        <v>0</v>
      </c>
      <c r="M26" s="75"/>
      <c r="N26" s="79"/>
      <c r="O26" s="114">
        <f>SUM(O20:O25)</f>
        <v>0</v>
      </c>
      <c r="P26" s="114">
        <f>SUM(P20:P25)</f>
        <v>0</v>
      </c>
      <c r="Q26" s="114">
        <f>SUM(Q20:Q25)</f>
        <v>0</v>
      </c>
    </row>
    <row r="27" spans="1:20">
      <c r="P27" s="9" t="s">
        <v>153</v>
      </c>
      <c r="Q27" s="113">
        <f>P26+Q26</f>
        <v>0</v>
      </c>
    </row>
    <row r="28" spans="1:20">
      <c r="N28" s="8"/>
      <c r="O28" s="8"/>
      <c r="P28" s="9" t="s">
        <v>146</v>
      </c>
      <c r="Q28" s="231" t="str">
        <f>Q27&amp;P26&amp;Q26</f>
        <v>000</v>
      </c>
      <c r="R28" s="8"/>
      <c r="S28" s="8"/>
      <c r="T28" s="8"/>
    </row>
    <row r="29" spans="1:20">
      <c r="N29" s="8"/>
      <c r="P29" s="91" t="s">
        <v>142</v>
      </c>
      <c r="Q29" s="112">
        <f>IF($Q$27&lt;2,0,IF(〇計算の詳細!$M$5="軽減非該当",VLOOKUP(算定基礎!$Q$28,'多子減免額（基礎分）'!$A$1:$P$19,13,FALSE),IF(〇計算の詳細!$M$5=7,VLOOKUP(算定基礎!$Q$28,'多子減免額（基礎分）'!$A$1:$P$19,14,FALSE),IF(〇計算の詳細!$M$5=5,VLOOKUP(算定基礎!$Q$28,'多子減免額（基礎分）'!$A$1:$P$19,15,FALSE),IF(〇計算の詳細!$M$5=2,VLOOKUP(算定基礎!$Q$28,'多子減免額（基礎分）'!$A$1:$P$19,16,FALSE),
0)))))</f>
        <v>0</v>
      </c>
      <c r="R29" s="8" t="s">
        <v>170</v>
      </c>
      <c r="S29" s="8"/>
      <c r="T29" s="8"/>
    </row>
    <row r="30" spans="1:20">
      <c r="A30" s="24" t="s">
        <v>28</v>
      </c>
      <c r="B30" s="13"/>
      <c r="C30" s="33">
        <v>310000</v>
      </c>
      <c r="D30" s="34">
        <v>570000</v>
      </c>
      <c r="E30" s="13"/>
      <c r="F30" s="13"/>
      <c r="G30" s="13"/>
      <c r="H30" s="13"/>
      <c r="I30" s="13"/>
      <c r="J30" s="13"/>
      <c r="N30" s="8"/>
      <c r="O30" s="8"/>
      <c r="P30" s="91" t="s">
        <v>143</v>
      </c>
      <c r="Q30" s="112">
        <f>IF(Q27&lt;2,0,IF(〇計算の詳細!M5="軽減非該当",VLOOKUP(算定基礎!Q28,'多子減免額（支援分）'!$A$1:$P$19,13,FALSE),IF(〇計算の詳細!M5=7,VLOOKUP(算定基礎!Q28,'多子減免額（支援分）'!$A$1:$P$19,14,FALSE),IF(〇計算の詳細!M5=5,VLOOKUP(算定基礎!Q28,'多子減免額（支援分）'!$A$1:$P$19,15,FALSE),IF(〇計算の詳細!M5=2,VLOOKUP(算定基礎!Q28,'多子減免額（支援分）'!$A$1:$P$19,16,FALSE),
0)))))</f>
        <v>0</v>
      </c>
      <c r="R30" s="8" t="s">
        <v>171</v>
      </c>
      <c r="S30" s="8"/>
      <c r="T30" s="8"/>
    </row>
    <row r="31" spans="1:20">
      <c r="A31" s="47"/>
      <c r="B31" s="48" t="s">
        <v>19</v>
      </c>
      <c r="C31" s="48" t="s">
        <v>20</v>
      </c>
      <c r="D31" s="48" t="s">
        <v>21</v>
      </c>
      <c r="E31" s="13"/>
      <c r="F31" s="13" t="s">
        <v>27</v>
      </c>
      <c r="G31" s="13"/>
      <c r="H31" s="13"/>
      <c r="I31" s="13"/>
      <c r="N31" s="8"/>
      <c r="O31" s="233" t="s">
        <v>174</v>
      </c>
      <c r="P31" s="91" t="s">
        <v>175</v>
      </c>
      <c r="Q31" s="112">
        <f>P42</f>
        <v>0</v>
      </c>
      <c r="R31" s="8"/>
      <c r="S31" s="8"/>
      <c r="T31" s="8"/>
    </row>
    <row r="32" spans="1:20">
      <c r="A32" s="25">
        <v>1</v>
      </c>
      <c r="B32" s="26">
        <v>430000</v>
      </c>
      <c r="C32" s="27">
        <f>430000+$C$30*(A32)</f>
        <v>740000</v>
      </c>
      <c r="D32" s="27">
        <f>430000+$D$30*A32</f>
        <v>1000000</v>
      </c>
      <c r="E32" s="13"/>
      <c r="F32" s="28" t="str">
        <f>IF(ISNA(IF(AND(H32&gt;=K26,H31&lt;=K26),"○","×"))=TRUE,"×",IF(AND(H32&gt;=K26,H31&lt;=J10),"○","×"))</f>
        <v>○</v>
      </c>
      <c r="G32" s="55">
        <v>0.7</v>
      </c>
      <c r="H32" s="35">
        <f>VLOOKUP($D$26,$A$32:$D$37,2,FALSE)</f>
        <v>430000</v>
      </c>
      <c r="I32" s="82">
        <v>7</v>
      </c>
      <c r="J32" s="77"/>
      <c r="K32" s="8"/>
      <c r="L32" s="8"/>
      <c r="N32" s="8"/>
      <c r="O32" s="8"/>
      <c r="P32" s="91" t="s">
        <v>176</v>
      </c>
      <c r="Q32" s="112">
        <f>Q42</f>
        <v>0</v>
      </c>
      <c r="R32" s="8"/>
      <c r="S32" s="8"/>
      <c r="T32" s="8"/>
    </row>
    <row r="33" spans="1:20">
      <c r="A33" s="25">
        <v>2</v>
      </c>
      <c r="B33" s="239">
        <f>$B$32+IF($O$26&gt;1,100000*($O$26-1),0)</f>
        <v>430000</v>
      </c>
      <c r="C33" s="239">
        <f>430000+$C$30*(A33)+IF($O$26&gt;1,100000*($O$26-1),0)</f>
        <v>1050000</v>
      </c>
      <c r="D33" s="239">
        <f>430000+$D$30*A33+IF($O$26&gt;1,100000*($O$26-1),0)</f>
        <v>1570000</v>
      </c>
      <c r="E33" s="13"/>
      <c r="F33" s="28" t="str">
        <f>IF(K26&gt;430000,IF(AND(H33&gt;=K26,H32&lt;=K26),"○","×"),"×")</f>
        <v>×</v>
      </c>
      <c r="G33" s="56">
        <v>0.5</v>
      </c>
      <c r="H33" s="35">
        <f>VLOOKUP($D$26,$A$32:$D$37,3,FALSE)</f>
        <v>740000</v>
      </c>
      <c r="I33" s="82">
        <v>5</v>
      </c>
      <c r="J33" s="77"/>
      <c r="K33" s="8"/>
      <c r="L33" s="8"/>
      <c r="N33" s="8"/>
      <c r="O33" s="8"/>
      <c r="P33" s="8"/>
      <c r="Q33" s="8"/>
      <c r="R33" s="8"/>
      <c r="S33" s="8"/>
      <c r="T33" s="8"/>
    </row>
    <row r="34" spans="1:20">
      <c r="A34" s="25">
        <v>3</v>
      </c>
      <c r="B34" s="239">
        <f t="shared" ref="B34:B37" si="13">$B$32+IF($O$26&gt;1,100000*($O$26-1),0)</f>
        <v>430000</v>
      </c>
      <c r="C34" s="239">
        <f t="shared" ref="C34:C37" si="14">430000+$C$30*(A34)+IF($O$26&gt;1,100000*($O$26-1),0)</f>
        <v>1360000</v>
      </c>
      <c r="D34" s="239">
        <f t="shared" ref="D34:D37" si="15">430000+$D$30*A34+IF($O$26&gt;1,100000*($O$26-1),0)</f>
        <v>2140000</v>
      </c>
      <c r="E34" s="13"/>
      <c r="F34" s="28" t="str">
        <f>IF(K26&gt;430000,IF(AND(H34&gt;=K26,H33&lt;=K26),"○","×"),"×")</f>
        <v>×</v>
      </c>
      <c r="G34" s="56">
        <v>0.2</v>
      </c>
      <c r="H34" s="35">
        <f>VLOOKUP($D$26,$A$32:$D$37,4,FALSE)</f>
        <v>1000000</v>
      </c>
      <c r="I34" s="82">
        <v>2</v>
      </c>
      <c r="J34" s="77"/>
      <c r="K34" s="8"/>
      <c r="L34" s="8"/>
      <c r="N34" s="8"/>
      <c r="O34" s="8"/>
      <c r="P34" s="8" t="s">
        <v>178</v>
      </c>
      <c r="Q34" s="8" t="s">
        <v>179</v>
      </c>
      <c r="R34" s="8" t="s">
        <v>182</v>
      </c>
      <c r="S34" s="8"/>
      <c r="T34" s="8"/>
    </row>
    <row r="35" spans="1:20">
      <c r="A35" s="25">
        <v>4</v>
      </c>
      <c r="B35" s="239">
        <f t="shared" si="13"/>
        <v>430000</v>
      </c>
      <c r="C35" s="239">
        <f t="shared" si="14"/>
        <v>1670000</v>
      </c>
      <c r="D35" s="239">
        <f t="shared" si="15"/>
        <v>2710000</v>
      </c>
      <c r="E35" s="13"/>
      <c r="F35" s="30" t="str">
        <f>IF(ISNA(IF(H34&lt;K26,"○","×"))=TRUE,"×",IF(H34&lt;K26,"○","×"))</f>
        <v>×</v>
      </c>
      <c r="G35" s="31">
        <v>1</v>
      </c>
      <c r="H35" s="29">
        <v>0</v>
      </c>
      <c r="I35" s="83" t="s">
        <v>117</v>
      </c>
      <c r="J35" s="77"/>
      <c r="K35" s="8"/>
      <c r="L35" s="8"/>
      <c r="N35" s="8"/>
      <c r="O35" s="8" t="s">
        <v>177</v>
      </c>
      <c r="P35" s="38">
        <f>〇計算の詳細!L5-〇計算の詳細!N11-〇計算の詳細!O5-〇計算の詳細!P11</f>
        <v>11541</v>
      </c>
      <c r="Q35" s="234">
        <f>〇計算の詳細!L15-〇計算の詳細!N21-〇計算の詳細!O15-〇計算の詳細!P21</f>
        <v>6083</v>
      </c>
      <c r="R35" s="234">
        <f>P35+Q35</f>
        <v>17624</v>
      </c>
    </row>
    <row r="36" spans="1:20">
      <c r="A36" s="25">
        <v>5</v>
      </c>
      <c r="B36" s="239">
        <f t="shared" si="13"/>
        <v>430000</v>
      </c>
      <c r="C36" s="239">
        <f t="shared" si="14"/>
        <v>1980000</v>
      </c>
      <c r="D36" s="239">
        <f t="shared" si="15"/>
        <v>3280000</v>
      </c>
      <c r="E36" s="13"/>
      <c r="F36" s="13"/>
      <c r="G36" s="13"/>
      <c r="H36" s="13"/>
      <c r="I36" s="13"/>
      <c r="N36" s="8"/>
      <c r="O36" s="8" t="s">
        <v>180</v>
      </c>
      <c r="P36" s="234">
        <f>ROUNDDOWN(P35,-2)</f>
        <v>11500</v>
      </c>
      <c r="Q36" s="234">
        <f>ROUNDDOWN(Q35,-2)</f>
        <v>6000</v>
      </c>
      <c r="R36" s="234">
        <f>P36+Q36</f>
        <v>17500</v>
      </c>
      <c r="S36" s="9" t="s">
        <v>183</v>
      </c>
    </row>
    <row r="37" spans="1:20">
      <c r="A37" s="25">
        <v>6</v>
      </c>
      <c r="B37" s="239">
        <f t="shared" si="13"/>
        <v>430000</v>
      </c>
      <c r="C37" s="239">
        <f t="shared" si="14"/>
        <v>2290000</v>
      </c>
      <c r="D37" s="239">
        <f t="shared" si="15"/>
        <v>3850000</v>
      </c>
      <c r="F37" s="13"/>
      <c r="N37" s="8"/>
      <c r="O37" s="8"/>
    </row>
    <row r="38" spans="1:20">
      <c r="N38" s="8"/>
      <c r="O38" s="8" t="s">
        <v>181</v>
      </c>
      <c r="P38" s="234">
        <f>P35-Q29</f>
        <v>11541</v>
      </c>
      <c r="Q38" s="234">
        <f>Q35-Q30</f>
        <v>6083</v>
      </c>
      <c r="R38" s="234">
        <f>P38+Q38</f>
        <v>17624</v>
      </c>
    </row>
    <row r="39" spans="1:20">
      <c r="N39" s="8"/>
      <c r="O39" s="8" t="s">
        <v>180</v>
      </c>
      <c r="P39" s="234">
        <f>ROUNDDOWN(P38,-2)</f>
        <v>11500</v>
      </c>
      <c r="Q39" s="234">
        <f>ROUNDDOWN(Q38,-2)</f>
        <v>6000</v>
      </c>
      <c r="R39" s="234">
        <f>P39+Q39</f>
        <v>17500</v>
      </c>
      <c r="S39" s="9" t="s">
        <v>184</v>
      </c>
    </row>
    <row r="40" spans="1:20">
      <c r="N40" s="8"/>
      <c r="O40" s="8"/>
    </row>
    <row r="41" spans="1:20">
      <c r="N41" s="8"/>
      <c r="O41" s="8" t="s">
        <v>185</v>
      </c>
      <c r="R41" s="234">
        <f>R36-R39</f>
        <v>0</v>
      </c>
    </row>
    <row r="42" spans="1:20">
      <c r="N42" s="8"/>
      <c r="O42" s="8" t="s">
        <v>186</v>
      </c>
      <c r="P42" s="234">
        <f>R41-Q42</f>
        <v>0</v>
      </c>
      <c r="Q42" s="9">
        <f>IF(R41=0,0,IF(ROUNDDOWN(Q29,-2)+ROUNDDOWN(Q30,-2)=R41,ROUNDDOWN(Q30,-2),IF(ROUND(Q29,-2)+ROUND(Q30,-2)=R41,ROUND(Q30,-2),IF(ROUNDUP(Q29,-2)+ROUNDUP(Q30,-2)=R41,ROUNDUP(Q30,-2),IF(RIGHT(Q29,2)&gt;RIGHT(Q30,2),ROUNDDOWN(Q30,-2),ROUNDUP(Q30,-2))))))</f>
        <v>0</v>
      </c>
    </row>
    <row r="43" spans="1:20">
      <c r="N43" s="8"/>
      <c r="O43" s="8"/>
    </row>
    <row r="44" spans="1:20">
      <c r="N44" s="8"/>
      <c r="O44" s="8"/>
    </row>
  </sheetData>
  <sheetProtection selectLockedCells="1"/>
  <mergeCells count="1">
    <mergeCell ref="B16:B17"/>
  </mergeCells>
  <phoneticPr fontId="2"/>
  <pageMargins left="0.25" right="0.25" top="0.75" bottom="0.75" header="0.3" footer="0.3"/>
  <pageSetup paperSize="9" scale="3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H78"/>
  <sheetViews>
    <sheetView zoomScale="80" zoomScaleNormal="80" workbookViewId="0">
      <selection activeCell="H4" sqref="H4"/>
    </sheetView>
  </sheetViews>
  <sheetFormatPr defaultRowHeight="15.75"/>
  <cols>
    <col min="1" max="1" width="9" style="9"/>
    <col min="2" max="2" width="12.875" style="9" bestFit="1" customWidth="1"/>
    <col min="3" max="3" width="17.125" style="9" customWidth="1"/>
    <col min="4" max="4" width="9" style="9"/>
    <col min="5" max="5" width="15.875" style="9" customWidth="1"/>
    <col min="6" max="6" width="11.875" style="9" bestFit="1" customWidth="1"/>
    <col min="7" max="7" width="16.75" style="9" customWidth="1"/>
    <col min="8" max="8" width="11.875" style="9" bestFit="1" customWidth="1"/>
    <col min="9" max="16384" width="9" style="9"/>
  </cols>
  <sheetData>
    <row r="1" spans="2:8">
      <c r="B1" s="9" t="s">
        <v>37</v>
      </c>
      <c r="C1" s="9" t="s">
        <v>43</v>
      </c>
      <c r="E1" s="9" t="s">
        <v>44</v>
      </c>
      <c r="F1" s="9" t="s">
        <v>45</v>
      </c>
    </row>
    <row r="2" spans="2:8">
      <c r="B2" s="9" t="s">
        <v>0</v>
      </c>
      <c r="E2" s="9" t="s">
        <v>0</v>
      </c>
    </row>
    <row r="3" spans="2:8">
      <c r="B3" s="11">
        <v>0</v>
      </c>
      <c r="C3" s="219">
        <v>0</v>
      </c>
      <c r="E3" s="53" t="s">
        <v>46</v>
      </c>
      <c r="F3" s="53"/>
      <c r="G3" s="53" t="s">
        <v>47</v>
      </c>
      <c r="H3" s="53"/>
    </row>
    <row r="4" spans="2:8">
      <c r="B4" s="11">
        <v>651000</v>
      </c>
      <c r="C4" s="219">
        <f>試算シート!R10-650000</f>
        <v>-650000</v>
      </c>
      <c r="E4" s="11">
        <v>0</v>
      </c>
      <c r="F4" s="11">
        <f>IF(試算シート!Y10-600000&lt;0,0,試算シート!Y10-600000)</f>
        <v>0</v>
      </c>
      <c r="G4" s="11">
        <v>0</v>
      </c>
      <c r="H4" s="11">
        <f>IF(試算シート!Y10-1100000&lt;0,0,試算シート!Y10-1100000)</f>
        <v>0</v>
      </c>
    </row>
    <row r="5" spans="2:8">
      <c r="B5" s="11">
        <v>1900000</v>
      </c>
      <c r="C5" s="219">
        <f>ROUNDDOWN(試算シート!R10/4,-3)*2.8-80000</f>
        <v>-80000</v>
      </c>
      <c r="E5" s="11">
        <v>1300000</v>
      </c>
      <c r="F5" s="11">
        <f>試算シート!Y10*0.75-275000</f>
        <v>-275000</v>
      </c>
      <c r="G5" s="11">
        <v>3300000</v>
      </c>
      <c r="H5" s="11">
        <f>試算シート!Y10*0.75-275000</f>
        <v>-275000</v>
      </c>
    </row>
    <row r="6" spans="2:8">
      <c r="B6" s="11">
        <v>3600000</v>
      </c>
      <c r="C6" s="219">
        <f>ROUNDDOWN(試算シート!R10/4,-3)*3.2-440000</f>
        <v>-440000</v>
      </c>
      <c r="E6" s="11">
        <v>4100000</v>
      </c>
      <c r="F6" s="11">
        <f>試算シート!Y10*0.85-685000</f>
        <v>-685000</v>
      </c>
      <c r="G6" s="11">
        <v>4100000</v>
      </c>
      <c r="H6" s="11">
        <f>試算シート!Y10*0.85-685000</f>
        <v>-685000</v>
      </c>
    </row>
    <row r="7" spans="2:8">
      <c r="B7" s="11">
        <v>6600000</v>
      </c>
      <c r="C7" s="219">
        <f>試算シート!R10*0.9-1100000</f>
        <v>-1100000</v>
      </c>
      <c r="E7" s="11">
        <v>7700000</v>
      </c>
      <c r="F7" s="11">
        <f>試算シート!Y10*0.95-1455000</f>
        <v>-1455000</v>
      </c>
      <c r="G7" s="11">
        <v>7700000</v>
      </c>
      <c r="H7" s="11">
        <f>試算シート!Y10*0.95-1455000</f>
        <v>-1455000</v>
      </c>
    </row>
    <row r="8" spans="2:8">
      <c r="B8" s="11">
        <v>8500000</v>
      </c>
      <c r="C8" s="219">
        <f>試算シート!R10-1950000</f>
        <v>-1950000</v>
      </c>
      <c r="E8" s="11">
        <v>999999999</v>
      </c>
      <c r="F8" s="11">
        <f>試算シート!Y10-1955000</f>
        <v>-1955000</v>
      </c>
      <c r="G8" s="11">
        <v>999999999</v>
      </c>
      <c r="H8" s="11">
        <f>試算シート!Y10-1955000</f>
        <v>-1955000</v>
      </c>
    </row>
    <row r="9" spans="2:8">
      <c r="B9" s="11"/>
      <c r="C9" s="219"/>
    </row>
    <row r="10" spans="2:8">
      <c r="B10" s="11"/>
      <c r="C10" s="219"/>
    </row>
    <row r="11" spans="2:8">
      <c r="B11" s="11"/>
      <c r="C11" s="219"/>
    </row>
    <row r="12" spans="2:8">
      <c r="B12" s="11"/>
      <c r="C12" s="219"/>
    </row>
    <row r="13" spans="2:8">
      <c r="B13" s="11"/>
      <c r="C13" s="219"/>
    </row>
    <row r="14" spans="2:8" ht="6.75" customHeight="1"/>
    <row r="15" spans="2:8">
      <c r="B15" s="9" t="s">
        <v>1</v>
      </c>
      <c r="E15" s="9" t="s">
        <v>1</v>
      </c>
    </row>
    <row r="16" spans="2:8">
      <c r="B16" s="11">
        <v>0</v>
      </c>
      <c r="C16" s="11">
        <v>0</v>
      </c>
      <c r="E16" s="53" t="s">
        <v>46</v>
      </c>
      <c r="F16" s="53"/>
      <c r="G16" s="53" t="s">
        <v>47</v>
      </c>
      <c r="H16" s="53"/>
    </row>
    <row r="17" spans="2:8">
      <c r="B17" s="11">
        <v>651000</v>
      </c>
      <c r="C17" s="11">
        <f>試算シート!R12-650000</f>
        <v>-650000</v>
      </c>
      <c r="E17" s="11">
        <v>0</v>
      </c>
      <c r="F17" s="11">
        <f>IF(試算シート!Y12-600000&lt;0,0,試算シート!Y12-600000)</f>
        <v>0</v>
      </c>
      <c r="G17" s="11">
        <v>0</v>
      </c>
      <c r="H17" s="11">
        <f>IF(試算シート!Y12-1100000&lt;0,0,試算シート!Y12-1100000)</f>
        <v>0</v>
      </c>
    </row>
    <row r="18" spans="2:8">
      <c r="B18" s="11">
        <v>1900000</v>
      </c>
      <c r="C18" s="11">
        <f>ROUNDDOWN(試算シート!R12/4,-3)*2.8-80000</f>
        <v>-80000</v>
      </c>
      <c r="E18" s="11">
        <v>1300000</v>
      </c>
      <c r="F18" s="11">
        <f>試算シート!Y12*0.75-275000</f>
        <v>-275000</v>
      </c>
      <c r="G18" s="11">
        <v>3300000</v>
      </c>
      <c r="H18" s="11">
        <f>試算シート!Y12*0.75-275000</f>
        <v>-275000</v>
      </c>
    </row>
    <row r="19" spans="2:8">
      <c r="B19" s="11">
        <v>3600000</v>
      </c>
      <c r="C19" s="11">
        <f>ROUNDDOWN(試算シート!R12/4,-3)*3.2-440000</f>
        <v>-440000</v>
      </c>
      <c r="E19" s="11">
        <v>4100000</v>
      </c>
      <c r="F19" s="11">
        <f>試算シート!Y12*0.85-685000</f>
        <v>-685000</v>
      </c>
      <c r="G19" s="11">
        <v>4100000</v>
      </c>
      <c r="H19" s="11">
        <f>試算シート!Y12*0.85-685000</f>
        <v>-685000</v>
      </c>
    </row>
    <row r="20" spans="2:8">
      <c r="B20" s="11">
        <v>6600000</v>
      </c>
      <c r="C20" s="11">
        <f>試算シート!R12*0.9-1100000</f>
        <v>-1100000</v>
      </c>
      <c r="E20" s="11">
        <v>7700000</v>
      </c>
      <c r="F20" s="11">
        <f>試算シート!Y12*0.95-1455000</f>
        <v>-1455000</v>
      </c>
      <c r="G20" s="11">
        <v>7700000</v>
      </c>
      <c r="H20" s="11">
        <f>試算シート!Y12*0.95-1455000</f>
        <v>-1455000</v>
      </c>
    </row>
    <row r="21" spans="2:8">
      <c r="B21" s="11">
        <v>8500000</v>
      </c>
      <c r="C21" s="11">
        <f>試算シート!R12-1950000</f>
        <v>-1950000</v>
      </c>
      <c r="E21" s="11">
        <v>999999999</v>
      </c>
      <c r="F21" s="11">
        <f>試算シート!Y12-1955000</f>
        <v>-1955000</v>
      </c>
      <c r="G21" s="11">
        <v>999999999</v>
      </c>
      <c r="H21" s="11">
        <f>試算シート!Y12-1955000</f>
        <v>-1955000</v>
      </c>
    </row>
    <row r="22" spans="2:8">
      <c r="B22" s="11"/>
      <c r="C22" s="11"/>
    </row>
    <row r="23" spans="2:8">
      <c r="B23" s="11"/>
      <c r="C23" s="11"/>
    </row>
    <row r="24" spans="2:8">
      <c r="B24" s="11"/>
      <c r="C24" s="11"/>
    </row>
    <row r="25" spans="2:8">
      <c r="B25" s="11"/>
      <c r="C25" s="11"/>
    </row>
    <row r="26" spans="2:8">
      <c r="B26" s="11"/>
      <c r="C26" s="11"/>
    </row>
    <row r="27" spans="2:8" ht="7.5" customHeight="1"/>
    <row r="28" spans="2:8">
      <c r="B28" s="9" t="s">
        <v>2</v>
      </c>
      <c r="E28" s="9" t="s">
        <v>2</v>
      </c>
    </row>
    <row r="29" spans="2:8">
      <c r="B29" s="11">
        <v>0</v>
      </c>
      <c r="C29" s="11">
        <v>0</v>
      </c>
      <c r="E29" s="53" t="s">
        <v>46</v>
      </c>
      <c r="F29" s="10"/>
      <c r="G29" s="53" t="s">
        <v>47</v>
      </c>
      <c r="H29" s="10"/>
    </row>
    <row r="30" spans="2:8">
      <c r="B30" s="11">
        <v>651000</v>
      </c>
      <c r="C30" s="11">
        <f>試算シート!R14-650000</f>
        <v>-650000</v>
      </c>
      <c r="E30" s="11">
        <v>0</v>
      </c>
      <c r="F30" s="11">
        <f>IF(試算シート!Y14-600000&lt;0,0,試算シート!Y14-600000)</f>
        <v>0</v>
      </c>
      <c r="G30" s="11">
        <v>0</v>
      </c>
      <c r="H30" s="11">
        <f>IF(試算シート!Y14-1100000&lt;0,0,試算シート!Y14-1100000)</f>
        <v>0</v>
      </c>
    </row>
    <row r="31" spans="2:8">
      <c r="B31" s="11">
        <v>1900000</v>
      </c>
      <c r="C31" s="11">
        <f>ROUNDDOWN(試算シート!R14/4,-3)*2.8-80000</f>
        <v>-80000</v>
      </c>
      <c r="E31" s="11">
        <v>1300000</v>
      </c>
      <c r="F31" s="11">
        <f>試算シート!Y14*0.75-275000</f>
        <v>-275000</v>
      </c>
      <c r="G31" s="11">
        <v>3300000</v>
      </c>
      <c r="H31" s="11">
        <f>試算シート!Y14*0.75-275000</f>
        <v>-275000</v>
      </c>
    </row>
    <row r="32" spans="2:8">
      <c r="B32" s="11">
        <v>3600000</v>
      </c>
      <c r="C32" s="11">
        <f>ROUNDDOWN(試算シート!R14/4,-3)*3.2-440000</f>
        <v>-440000</v>
      </c>
      <c r="E32" s="11">
        <v>4100000</v>
      </c>
      <c r="F32" s="11">
        <f>試算シート!Y14*0.85-685000</f>
        <v>-685000</v>
      </c>
      <c r="G32" s="11">
        <v>4100000</v>
      </c>
      <c r="H32" s="11">
        <f>試算シート!Y14*0.85-685000</f>
        <v>-685000</v>
      </c>
    </row>
    <row r="33" spans="2:8">
      <c r="B33" s="11">
        <v>6600000</v>
      </c>
      <c r="C33" s="11">
        <f>試算シート!R14*0.9-1100000</f>
        <v>-1100000</v>
      </c>
      <c r="E33" s="11">
        <v>7700000</v>
      </c>
      <c r="F33" s="11">
        <f>試算シート!Y14*0.95-1455000</f>
        <v>-1455000</v>
      </c>
      <c r="G33" s="11">
        <v>7700000</v>
      </c>
      <c r="H33" s="11">
        <f>試算シート!Y14*0.95-1455000</f>
        <v>-1455000</v>
      </c>
    </row>
    <row r="34" spans="2:8">
      <c r="B34" s="11">
        <v>8500000</v>
      </c>
      <c r="C34" s="11">
        <f>試算シート!R14-1950000</f>
        <v>-1950000</v>
      </c>
      <c r="E34" s="11">
        <v>999999999</v>
      </c>
      <c r="F34" s="11">
        <f>試算シート!Y14-1955000</f>
        <v>-1955000</v>
      </c>
      <c r="G34" s="11">
        <v>999999999</v>
      </c>
      <c r="H34" s="11">
        <f>試算シート!Y14-1955000</f>
        <v>-1955000</v>
      </c>
    </row>
    <row r="35" spans="2:8">
      <c r="B35" s="11"/>
      <c r="C35" s="11"/>
    </row>
    <row r="36" spans="2:8">
      <c r="B36" s="11"/>
      <c r="C36" s="11"/>
    </row>
    <row r="37" spans="2:8">
      <c r="B37" s="11"/>
      <c r="C37" s="11"/>
    </row>
    <row r="38" spans="2:8">
      <c r="B38" s="11"/>
      <c r="C38" s="11"/>
    </row>
    <row r="39" spans="2:8">
      <c r="B39" s="11"/>
      <c r="C39" s="11"/>
    </row>
    <row r="40" spans="2:8" ht="9.75" customHeight="1"/>
    <row r="41" spans="2:8">
      <c r="B41" s="9" t="s">
        <v>3</v>
      </c>
      <c r="E41" s="9" t="s">
        <v>3</v>
      </c>
    </row>
    <row r="42" spans="2:8">
      <c r="B42" s="11">
        <v>0</v>
      </c>
      <c r="C42" s="11">
        <v>0</v>
      </c>
      <c r="E42" s="53" t="s">
        <v>46</v>
      </c>
      <c r="F42" s="53"/>
      <c r="G42" s="53" t="s">
        <v>47</v>
      </c>
      <c r="H42" s="10"/>
    </row>
    <row r="43" spans="2:8">
      <c r="B43" s="11">
        <v>651000</v>
      </c>
      <c r="C43" s="11">
        <f>試算シート!R16-650000</f>
        <v>-650000</v>
      </c>
      <c r="E43" s="11">
        <v>0</v>
      </c>
      <c r="F43" s="11">
        <f>IF(試算シート!Y16-600000&lt;0,0,試算シート!Y16-600000)</f>
        <v>0</v>
      </c>
      <c r="G43" s="11">
        <v>0</v>
      </c>
      <c r="H43" s="11">
        <f>IF(試算シート!Y16-1100000&lt;0,0,試算シート!Y16-1100000)</f>
        <v>0</v>
      </c>
    </row>
    <row r="44" spans="2:8">
      <c r="B44" s="11">
        <v>1900000</v>
      </c>
      <c r="C44" s="11">
        <f>ROUNDDOWN(試算シート!R16/4,-3)*2.8-80000</f>
        <v>-80000</v>
      </c>
      <c r="E44" s="11">
        <v>1300000</v>
      </c>
      <c r="F44" s="11">
        <f>試算シート!Y16*0.75-275000</f>
        <v>-275000</v>
      </c>
      <c r="G44" s="11">
        <v>3300000</v>
      </c>
      <c r="H44" s="11">
        <f>試算シート!Y16*0.75-275000</f>
        <v>-275000</v>
      </c>
    </row>
    <row r="45" spans="2:8">
      <c r="B45" s="11">
        <v>3600000</v>
      </c>
      <c r="C45" s="11">
        <f>ROUNDDOWN(試算シート!R16/4,-3)*3.2-440000</f>
        <v>-440000</v>
      </c>
      <c r="E45" s="11">
        <v>4100000</v>
      </c>
      <c r="F45" s="11">
        <f>試算シート!Y16*0.85-685000</f>
        <v>-685000</v>
      </c>
      <c r="G45" s="11">
        <v>4100000</v>
      </c>
      <c r="H45" s="11">
        <f>試算シート!Y16*0.85-685000</f>
        <v>-685000</v>
      </c>
    </row>
    <row r="46" spans="2:8">
      <c r="B46" s="11">
        <v>6600000</v>
      </c>
      <c r="C46" s="11">
        <f>試算シート!R16*0.9-1100000</f>
        <v>-1100000</v>
      </c>
      <c r="E46" s="11">
        <v>7700000</v>
      </c>
      <c r="F46" s="11">
        <f>試算シート!Y16*0.95-1455000</f>
        <v>-1455000</v>
      </c>
      <c r="G46" s="11">
        <v>7700000</v>
      </c>
      <c r="H46" s="11">
        <f>試算シート!Y16*0.95-1455000</f>
        <v>-1455000</v>
      </c>
    </row>
    <row r="47" spans="2:8">
      <c r="B47" s="11">
        <v>8500000</v>
      </c>
      <c r="C47" s="11">
        <f>試算シート!R16-1950000</f>
        <v>-1950000</v>
      </c>
      <c r="E47" s="11">
        <v>999999999</v>
      </c>
      <c r="F47" s="11">
        <f>試算シート!Y16-1955000</f>
        <v>-1955000</v>
      </c>
      <c r="G47" s="11">
        <v>999999999</v>
      </c>
      <c r="H47" s="11">
        <f>試算シート!Y16-1955000</f>
        <v>-1955000</v>
      </c>
    </row>
    <row r="48" spans="2:8">
      <c r="B48" s="11"/>
      <c r="C48" s="11"/>
    </row>
    <row r="49" spans="2:8">
      <c r="B49" s="11"/>
      <c r="C49" s="11"/>
    </row>
    <row r="50" spans="2:8">
      <c r="B50" s="11"/>
      <c r="C50" s="11"/>
    </row>
    <row r="51" spans="2:8">
      <c r="B51" s="11"/>
      <c r="C51" s="11"/>
    </row>
    <row r="52" spans="2:8">
      <c r="B52" s="11"/>
      <c r="C52" s="11"/>
    </row>
    <row r="53" spans="2:8" ht="8.25" customHeight="1"/>
    <row r="54" spans="2:8">
      <c r="B54" s="9" t="s">
        <v>4</v>
      </c>
      <c r="E54" s="9" t="s">
        <v>4</v>
      </c>
    </row>
    <row r="55" spans="2:8">
      <c r="B55" s="11">
        <v>0</v>
      </c>
      <c r="C55" s="11">
        <v>0</v>
      </c>
      <c r="E55" s="53" t="s">
        <v>46</v>
      </c>
      <c r="F55" s="53"/>
      <c r="G55" s="53" t="s">
        <v>47</v>
      </c>
      <c r="H55" s="10"/>
    </row>
    <row r="56" spans="2:8">
      <c r="B56" s="11">
        <v>651000</v>
      </c>
      <c r="C56" s="11">
        <f>試算シート!R18-650000</f>
        <v>-650000</v>
      </c>
      <c r="E56" s="11">
        <v>0</v>
      </c>
      <c r="F56" s="11">
        <f>IF(試算シート!Y18-600000&lt;0,0,試算シート!Y18-600000)</f>
        <v>0</v>
      </c>
      <c r="G56" s="11">
        <v>0</v>
      </c>
      <c r="H56" s="11">
        <f>IF(試算シート!Y18-1100000&lt;0,0,試算シート!Y18-1100000)</f>
        <v>0</v>
      </c>
    </row>
    <row r="57" spans="2:8">
      <c r="B57" s="11">
        <v>1900000</v>
      </c>
      <c r="C57" s="11">
        <f>ROUNDDOWN(試算シート!R18/4,-3)*2.8-80000</f>
        <v>-80000</v>
      </c>
      <c r="E57" s="11">
        <v>1300000</v>
      </c>
      <c r="F57" s="11">
        <f>試算シート!Y18*0.75-275000</f>
        <v>-275000</v>
      </c>
      <c r="G57" s="11">
        <v>3300000</v>
      </c>
      <c r="H57" s="11">
        <f>試算シート!Y18*0.75-275000</f>
        <v>-275000</v>
      </c>
    </row>
    <row r="58" spans="2:8">
      <c r="B58" s="11">
        <v>3600000</v>
      </c>
      <c r="C58" s="11">
        <f>ROUNDDOWN(試算シート!R18/4,-3)*3.2-440000</f>
        <v>-440000</v>
      </c>
      <c r="E58" s="11">
        <v>4100000</v>
      </c>
      <c r="F58" s="11">
        <f>試算シート!Y18*0.85-685000</f>
        <v>-685000</v>
      </c>
      <c r="G58" s="11">
        <v>4100000</v>
      </c>
      <c r="H58" s="11">
        <f>試算シート!Y18*0.85-685000</f>
        <v>-685000</v>
      </c>
    </row>
    <row r="59" spans="2:8">
      <c r="B59" s="11">
        <v>6600000</v>
      </c>
      <c r="C59" s="11">
        <f>試算シート!R18*0.9-1100000</f>
        <v>-1100000</v>
      </c>
      <c r="E59" s="11">
        <v>7700000</v>
      </c>
      <c r="F59" s="11">
        <f>試算シート!Y18*0.95-1455000</f>
        <v>-1455000</v>
      </c>
      <c r="G59" s="11">
        <v>7700000</v>
      </c>
      <c r="H59" s="11">
        <f>試算シート!Y18*0.95-1455000</f>
        <v>-1455000</v>
      </c>
    </row>
    <row r="60" spans="2:8">
      <c r="B60" s="11">
        <v>8500000</v>
      </c>
      <c r="C60" s="11">
        <f>試算シート!R18-1950000</f>
        <v>-1950000</v>
      </c>
      <c r="E60" s="11">
        <v>999999999</v>
      </c>
      <c r="F60" s="11">
        <f>試算シート!Y18-1955000</f>
        <v>-1955000</v>
      </c>
      <c r="G60" s="11">
        <v>999999999</v>
      </c>
      <c r="H60" s="11">
        <f>試算シート!Y18-1955000</f>
        <v>-1955000</v>
      </c>
    </row>
    <row r="61" spans="2:8">
      <c r="B61" s="11"/>
      <c r="C61" s="11"/>
    </row>
    <row r="62" spans="2:8">
      <c r="B62" s="11"/>
      <c r="C62" s="11"/>
    </row>
    <row r="63" spans="2:8">
      <c r="B63" s="11"/>
      <c r="C63" s="11"/>
    </row>
    <row r="64" spans="2:8">
      <c r="B64" s="11"/>
      <c r="C64" s="11"/>
    </row>
    <row r="65" spans="2:8">
      <c r="B65" s="11"/>
      <c r="C65" s="11"/>
    </row>
    <row r="66" spans="2:8" ht="6" customHeight="1"/>
    <row r="67" spans="2:8">
      <c r="B67" s="9" t="s">
        <v>5</v>
      </c>
      <c r="E67" s="9" t="s">
        <v>5</v>
      </c>
    </row>
    <row r="68" spans="2:8">
      <c r="B68" s="11">
        <v>0</v>
      </c>
      <c r="C68" s="11">
        <v>0</v>
      </c>
      <c r="E68" s="10" t="s">
        <v>46</v>
      </c>
      <c r="F68" s="10"/>
      <c r="G68" s="10" t="s">
        <v>47</v>
      </c>
      <c r="H68" s="10"/>
    </row>
    <row r="69" spans="2:8">
      <c r="B69" s="11">
        <v>651000</v>
      </c>
      <c r="C69" s="11">
        <f>試算シート!R20-650000</f>
        <v>-650000</v>
      </c>
      <c r="E69" s="11">
        <v>0</v>
      </c>
      <c r="F69" s="11">
        <f>IF(試算シート!Y20-600000&lt;0,0,試算シート!Y20-600000)</f>
        <v>0</v>
      </c>
      <c r="G69" s="11">
        <v>0</v>
      </c>
      <c r="H69" s="11">
        <f>IF(試算シート!Y20-1100000&lt;0,0,試算シート!Y20-1100000)</f>
        <v>0</v>
      </c>
    </row>
    <row r="70" spans="2:8">
      <c r="B70" s="11">
        <v>1900000</v>
      </c>
      <c r="C70" s="11">
        <f>ROUNDDOWN(試算シート!R20/4,-3)*2.8-80000</f>
        <v>-80000</v>
      </c>
      <c r="E70" s="11">
        <v>1300000</v>
      </c>
      <c r="F70" s="11">
        <f>試算シート!Y20*0.75-275000</f>
        <v>-275000</v>
      </c>
      <c r="G70" s="11">
        <v>3300000</v>
      </c>
      <c r="H70" s="11">
        <f>試算シート!Y20*0.75-275000</f>
        <v>-275000</v>
      </c>
    </row>
    <row r="71" spans="2:8">
      <c r="B71" s="11">
        <v>3600000</v>
      </c>
      <c r="C71" s="11">
        <f>ROUNDDOWN(試算シート!R20/4,-3)*3.2-440000</f>
        <v>-440000</v>
      </c>
      <c r="E71" s="11">
        <v>4100000</v>
      </c>
      <c r="F71" s="11">
        <f>試算シート!Y20*0.85-685000</f>
        <v>-685000</v>
      </c>
      <c r="G71" s="11">
        <v>4100000</v>
      </c>
      <c r="H71" s="11">
        <f>試算シート!Y20*0.85-685000</f>
        <v>-685000</v>
      </c>
    </row>
    <row r="72" spans="2:8">
      <c r="B72" s="11">
        <v>6600000</v>
      </c>
      <c r="C72" s="11">
        <f>試算シート!R20*0.9-1100000</f>
        <v>-1100000</v>
      </c>
      <c r="E72" s="11">
        <v>7700000</v>
      </c>
      <c r="F72" s="11">
        <f>試算シート!Y20*0.95-1455000</f>
        <v>-1455000</v>
      </c>
      <c r="G72" s="11">
        <v>7700000</v>
      </c>
      <c r="H72" s="11">
        <f>試算シート!Y20*0.95-1455000</f>
        <v>-1455000</v>
      </c>
    </row>
    <row r="73" spans="2:8">
      <c r="B73" s="11">
        <v>8500000</v>
      </c>
      <c r="C73" s="11">
        <f>試算シート!R20-1950000</f>
        <v>-1950000</v>
      </c>
      <c r="E73" s="11">
        <v>999999999</v>
      </c>
      <c r="F73" s="11">
        <f>試算シート!Y20-1955000</f>
        <v>-1955000</v>
      </c>
      <c r="G73" s="11">
        <v>999999999</v>
      </c>
      <c r="H73" s="11">
        <f>試算シート!Y20-1955000</f>
        <v>-1955000</v>
      </c>
    </row>
    <row r="74" spans="2:8">
      <c r="B74" s="11"/>
      <c r="C74" s="11"/>
    </row>
    <row r="75" spans="2:8">
      <c r="B75" s="11"/>
      <c r="C75" s="11"/>
    </row>
    <row r="76" spans="2:8">
      <c r="B76" s="11"/>
      <c r="C76" s="11"/>
    </row>
    <row r="77" spans="2:8">
      <c r="B77" s="11"/>
      <c r="C77" s="11"/>
    </row>
    <row r="78" spans="2:8">
      <c r="B78" s="11"/>
      <c r="C78" s="11"/>
    </row>
  </sheetData>
  <phoneticPr fontId="2"/>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01A4D-4523-4E40-BA0D-8FD3F683A01E}">
  <dimension ref="A1:T21"/>
  <sheetViews>
    <sheetView zoomScaleNormal="100" workbookViewId="0">
      <pane xSplit="4" ySplit="1" topLeftCell="E2" activePane="bottomRight" state="frozen"/>
      <selection pane="topRight" activeCell="D1" sqref="D1"/>
      <selection pane="bottomLeft" activeCell="A2" sqref="A2"/>
      <selection pane="bottomRight" activeCell="M2" sqref="M2:P19"/>
    </sheetView>
  </sheetViews>
  <sheetFormatPr defaultRowHeight="13.5"/>
  <cols>
    <col min="1" max="1" width="5.25" style="89" customWidth="1"/>
    <col min="2" max="2" width="5.625" style="87" bestFit="1" customWidth="1"/>
    <col min="3" max="3" width="8.375" style="87" bestFit="1" customWidth="1"/>
    <col min="4" max="4" width="5.625" style="87" bestFit="1" customWidth="1"/>
    <col min="5" max="8" width="9.875" style="87" bestFit="1" customWidth="1"/>
    <col min="9" max="9" width="9.875" style="87" customWidth="1"/>
    <col min="10" max="10" width="9.75" style="87" customWidth="1"/>
    <col min="11" max="12" width="8.5" style="87" bestFit="1" customWidth="1"/>
    <col min="13" max="13" width="8.25" style="87" bestFit="1" customWidth="1"/>
    <col min="14" max="16" width="7.125" style="87" bestFit="1" customWidth="1"/>
    <col min="17" max="17" width="16" style="87" customWidth="1"/>
    <col min="18" max="18" width="13.75" style="87" customWidth="1"/>
    <col min="19" max="19" width="14" style="87" customWidth="1"/>
    <col min="20" max="20" width="18.875" style="87" customWidth="1"/>
    <col min="21" max="16384" width="9" style="87"/>
  </cols>
  <sheetData>
    <row r="1" spans="1:20" ht="38.25" customHeight="1">
      <c r="A1" s="90" t="s">
        <v>29</v>
      </c>
      <c r="B1" s="84" t="s">
        <v>152</v>
      </c>
      <c r="C1" s="84" t="s">
        <v>126</v>
      </c>
      <c r="D1" s="84" t="s">
        <v>127</v>
      </c>
      <c r="E1" s="84" t="s">
        <v>128</v>
      </c>
      <c r="F1" s="84" t="s">
        <v>129</v>
      </c>
      <c r="G1" s="84" t="s">
        <v>130</v>
      </c>
      <c r="H1" s="84" t="s">
        <v>131</v>
      </c>
      <c r="I1" s="85" t="s">
        <v>132</v>
      </c>
      <c r="J1" s="85" t="s">
        <v>133</v>
      </c>
      <c r="K1" s="85" t="s">
        <v>134</v>
      </c>
      <c r="L1" s="85" t="s">
        <v>135</v>
      </c>
      <c r="M1" s="86" t="s">
        <v>136</v>
      </c>
      <c r="N1" s="86" t="s">
        <v>137</v>
      </c>
      <c r="O1" s="86" t="s">
        <v>138</v>
      </c>
      <c r="P1" s="86" t="s">
        <v>139</v>
      </c>
      <c r="Q1" s="235"/>
      <c r="R1" s="236"/>
      <c r="S1" s="236"/>
      <c r="T1" s="236"/>
    </row>
    <row r="2" spans="1:20">
      <c r="A2" s="207" t="str">
        <f>B2&amp;C2&amp;D2</f>
        <v>202</v>
      </c>
      <c r="B2" s="208">
        <f>SUM(C2:D2)</f>
        <v>2</v>
      </c>
      <c r="C2" s="208">
        <v>0</v>
      </c>
      <c r="D2" s="208">
        <v>2</v>
      </c>
      <c r="E2" s="209">
        <f>$E$21*2</f>
        <v>39614</v>
      </c>
      <c r="F2" s="209">
        <f>$F$21*2</f>
        <v>11884</v>
      </c>
      <c r="G2" s="209">
        <f>$G$21*2</f>
        <v>19806</v>
      </c>
      <c r="H2" s="209">
        <f>$H$21*2</f>
        <v>31690</v>
      </c>
      <c r="I2" s="116">
        <f>ROUNDUP(E21/2*2,0)</f>
        <v>19807</v>
      </c>
      <c r="J2" s="116">
        <f>ROUNDUP(F21/2*2,0)</f>
        <v>5942</v>
      </c>
      <c r="K2" s="116">
        <f>ROUNDUP(G21/2*2,0)</f>
        <v>9903</v>
      </c>
      <c r="L2" s="116">
        <f>ROUNDUP(H21/2*2,0)</f>
        <v>15845</v>
      </c>
      <c r="M2" s="230">
        <v>0</v>
      </c>
      <c r="N2" s="230">
        <v>0</v>
      </c>
      <c r="O2" s="230">
        <v>0</v>
      </c>
      <c r="P2" s="230">
        <v>0</v>
      </c>
      <c r="Q2" s="237"/>
      <c r="R2" s="238"/>
      <c r="S2" s="238"/>
      <c r="T2" s="238"/>
    </row>
    <row r="3" spans="1:20">
      <c r="A3" s="207" t="str">
        <f t="shared" ref="A3:A19" si="0">B3&amp;C3&amp;D3</f>
        <v>211</v>
      </c>
      <c r="B3" s="208">
        <f t="shared" ref="B3:B19" si="1">SUM(C3:D3)</f>
        <v>2</v>
      </c>
      <c r="C3" s="208">
        <v>1</v>
      </c>
      <c r="D3" s="208">
        <v>1</v>
      </c>
      <c r="E3" s="209">
        <f>$E$21*2</f>
        <v>39614</v>
      </c>
      <c r="F3" s="209">
        <f>$F$21*2</f>
        <v>11884</v>
      </c>
      <c r="G3" s="209">
        <f>$G$21*2</f>
        <v>19806</v>
      </c>
      <c r="H3" s="209">
        <f>$H$21*2</f>
        <v>31690</v>
      </c>
      <c r="I3" s="116">
        <f>ROUNDUP(E21/2*1,0)</f>
        <v>9904</v>
      </c>
      <c r="J3" s="116">
        <f t="shared" ref="J3:L3" si="2">ROUNDUP(F21/2*1,0)</f>
        <v>2971</v>
      </c>
      <c r="K3" s="116">
        <f t="shared" si="2"/>
        <v>4952</v>
      </c>
      <c r="L3" s="116">
        <f t="shared" si="2"/>
        <v>7923</v>
      </c>
      <c r="M3" s="230">
        <v>0</v>
      </c>
      <c r="N3" s="230">
        <v>0</v>
      </c>
      <c r="O3" s="230">
        <v>0</v>
      </c>
      <c r="P3" s="230">
        <v>0</v>
      </c>
      <c r="Q3" s="237"/>
      <c r="R3" s="238"/>
      <c r="S3" s="238"/>
      <c r="T3" s="238"/>
    </row>
    <row r="4" spans="1:20">
      <c r="A4" s="207" t="str">
        <f t="shared" si="0"/>
        <v>220</v>
      </c>
      <c r="B4" s="208">
        <f t="shared" si="1"/>
        <v>2</v>
      </c>
      <c r="C4" s="208">
        <v>2</v>
      </c>
      <c r="D4" s="208">
        <v>0</v>
      </c>
      <c r="E4" s="209">
        <f>$E$21*2</f>
        <v>39614</v>
      </c>
      <c r="F4" s="209">
        <f>$F$21*2</f>
        <v>11884</v>
      </c>
      <c r="G4" s="209">
        <f>$G$21*2</f>
        <v>19806</v>
      </c>
      <c r="H4" s="209">
        <f>$H$21*2</f>
        <v>31690</v>
      </c>
      <c r="I4" s="116">
        <v>0</v>
      </c>
      <c r="J4" s="116">
        <v>0</v>
      </c>
      <c r="K4" s="116">
        <v>0</v>
      </c>
      <c r="L4" s="116">
        <v>0</v>
      </c>
      <c r="M4" s="230">
        <f>E21/2</f>
        <v>9903.5</v>
      </c>
      <c r="N4" s="230">
        <f>F21/2</f>
        <v>2971</v>
      </c>
      <c r="O4" s="230">
        <f>G21/2</f>
        <v>4951.5</v>
      </c>
      <c r="P4" s="230">
        <f>H21/2</f>
        <v>7922.5</v>
      </c>
      <c r="Q4" s="237"/>
      <c r="R4" s="238"/>
      <c r="S4" s="238"/>
      <c r="T4" s="238"/>
    </row>
    <row r="5" spans="1:20">
      <c r="A5" s="210" t="str">
        <f t="shared" si="0"/>
        <v>303</v>
      </c>
      <c r="B5" s="211">
        <f t="shared" si="1"/>
        <v>3</v>
      </c>
      <c r="C5" s="211">
        <v>0</v>
      </c>
      <c r="D5" s="211">
        <v>3</v>
      </c>
      <c r="E5" s="212">
        <f>$E$21*3</f>
        <v>59421</v>
      </c>
      <c r="F5" s="212">
        <f>$F$21*3</f>
        <v>17826</v>
      </c>
      <c r="G5" s="212">
        <f>$G$21*3</f>
        <v>29709</v>
      </c>
      <c r="H5" s="212">
        <f>$H$21*3</f>
        <v>47535</v>
      </c>
      <c r="I5" s="116">
        <f>ROUNDUP(E21/2*3,0)</f>
        <v>29711</v>
      </c>
      <c r="J5" s="116">
        <f t="shared" ref="J5:L5" si="3">ROUNDUP(F21/2*3,0)</f>
        <v>8913</v>
      </c>
      <c r="K5" s="116">
        <f t="shared" si="3"/>
        <v>14855</v>
      </c>
      <c r="L5" s="116">
        <f t="shared" si="3"/>
        <v>23768</v>
      </c>
      <c r="M5" s="230">
        <f>E21/2</f>
        <v>9903.5</v>
      </c>
      <c r="N5" s="230">
        <f t="shared" ref="N5:P5" si="4">F21/2</f>
        <v>2971</v>
      </c>
      <c r="O5" s="230">
        <f t="shared" si="4"/>
        <v>4951.5</v>
      </c>
      <c r="P5" s="230">
        <f t="shared" si="4"/>
        <v>7922.5</v>
      </c>
      <c r="Q5" s="237"/>
      <c r="R5" s="238"/>
      <c r="S5" s="238"/>
      <c r="T5" s="238"/>
    </row>
    <row r="6" spans="1:20">
      <c r="A6" s="210" t="str">
        <f t="shared" si="0"/>
        <v>312</v>
      </c>
      <c r="B6" s="211">
        <f t="shared" si="1"/>
        <v>3</v>
      </c>
      <c r="C6" s="211">
        <v>1</v>
      </c>
      <c r="D6" s="211">
        <v>2</v>
      </c>
      <c r="E6" s="212">
        <f>$E$21*3</f>
        <v>59421</v>
      </c>
      <c r="F6" s="212">
        <f>$F$21*3</f>
        <v>17826</v>
      </c>
      <c r="G6" s="212">
        <f t="shared" ref="G6:G8" si="5">$G$21*3</f>
        <v>29709</v>
      </c>
      <c r="H6" s="212">
        <f>$H$21*3</f>
        <v>47535</v>
      </c>
      <c r="I6" s="116">
        <f>ROUNDUP(E21/2*2,0)</f>
        <v>19807</v>
      </c>
      <c r="J6" s="116">
        <f t="shared" ref="J6:L6" si="6">ROUNDUP(F21/2*2,0)</f>
        <v>5942</v>
      </c>
      <c r="K6" s="116">
        <f t="shared" si="6"/>
        <v>9903</v>
      </c>
      <c r="L6" s="116">
        <f t="shared" si="6"/>
        <v>15845</v>
      </c>
      <c r="M6" s="230">
        <f>E21/2</f>
        <v>9903.5</v>
      </c>
      <c r="N6" s="230">
        <f t="shared" ref="N6:P6" si="7">F21/2</f>
        <v>2971</v>
      </c>
      <c r="O6" s="230">
        <f t="shared" si="7"/>
        <v>4951.5</v>
      </c>
      <c r="P6" s="230">
        <f t="shared" si="7"/>
        <v>7922.5</v>
      </c>
      <c r="Q6" s="237"/>
      <c r="R6" s="238"/>
      <c r="S6" s="238"/>
      <c r="T6" s="238"/>
    </row>
    <row r="7" spans="1:20">
      <c r="A7" s="210" t="str">
        <f t="shared" si="0"/>
        <v>321</v>
      </c>
      <c r="B7" s="211">
        <f t="shared" si="1"/>
        <v>3</v>
      </c>
      <c r="C7" s="211">
        <v>2</v>
      </c>
      <c r="D7" s="211">
        <v>1</v>
      </c>
      <c r="E7" s="212">
        <f>$E$21*3</f>
        <v>59421</v>
      </c>
      <c r="F7" s="212">
        <f>$F$21*3</f>
        <v>17826</v>
      </c>
      <c r="G7" s="212">
        <f t="shared" si="5"/>
        <v>29709</v>
      </c>
      <c r="H7" s="212">
        <f t="shared" ref="H7:H8" si="8">$H$21*3</f>
        <v>47535</v>
      </c>
      <c r="I7" s="116">
        <f>ROUNDUP(E21/2*1,0)</f>
        <v>9904</v>
      </c>
      <c r="J7" s="116">
        <f t="shared" ref="J7:L7" si="9">ROUNDUP(F21/2*1,0)</f>
        <v>2971</v>
      </c>
      <c r="K7" s="116">
        <f t="shared" si="9"/>
        <v>4952</v>
      </c>
      <c r="L7" s="116">
        <f t="shared" si="9"/>
        <v>7923</v>
      </c>
      <c r="M7" s="230">
        <f>E21</f>
        <v>19807</v>
      </c>
      <c r="N7" s="230">
        <f>F21</f>
        <v>5942</v>
      </c>
      <c r="O7" s="230">
        <f>G21</f>
        <v>9903</v>
      </c>
      <c r="P7" s="230">
        <f>H21</f>
        <v>15845</v>
      </c>
      <c r="Q7" s="237"/>
      <c r="R7" s="238"/>
      <c r="S7" s="238"/>
      <c r="T7" s="238"/>
    </row>
    <row r="8" spans="1:20">
      <c r="A8" s="210" t="str">
        <f t="shared" si="0"/>
        <v>330</v>
      </c>
      <c r="B8" s="211">
        <f t="shared" si="1"/>
        <v>3</v>
      </c>
      <c r="C8" s="211">
        <v>3</v>
      </c>
      <c r="D8" s="211">
        <v>0</v>
      </c>
      <c r="E8" s="212">
        <f>$E$21*3</f>
        <v>59421</v>
      </c>
      <c r="F8" s="212">
        <f>$F$21*3</f>
        <v>17826</v>
      </c>
      <c r="G8" s="212">
        <f t="shared" si="5"/>
        <v>29709</v>
      </c>
      <c r="H8" s="212">
        <f t="shared" si="8"/>
        <v>47535</v>
      </c>
      <c r="I8" s="116">
        <v>0</v>
      </c>
      <c r="J8" s="116">
        <v>0</v>
      </c>
      <c r="K8" s="116">
        <v>0</v>
      </c>
      <c r="L8" s="116">
        <v>0</v>
      </c>
      <c r="M8" s="230">
        <f>E21/2+E21</f>
        <v>29710.5</v>
      </c>
      <c r="N8" s="230">
        <f>F21/2+F21</f>
        <v>8913</v>
      </c>
      <c r="O8" s="230">
        <f t="shared" ref="O8:P8" si="10">G21/2+G21</f>
        <v>14854.5</v>
      </c>
      <c r="P8" s="230">
        <f t="shared" si="10"/>
        <v>23767.5</v>
      </c>
      <c r="Q8" s="237"/>
      <c r="R8" s="238"/>
      <c r="S8" s="238"/>
      <c r="T8" s="238"/>
    </row>
    <row r="9" spans="1:20">
      <c r="A9" s="213" t="str">
        <f t="shared" si="0"/>
        <v>404</v>
      </c>
      <c r="B9" s="214">
        <f t="shared" si="1"/>
        <v>4</v>
      </c>
      <c r="C9" s="214">
        <v>0</v>
      </c>
      <c r="D9" s="214">
        <v>4</v>
      </c>
      <c r="E9" s="215">
        <f>$E$21*4</f>
        <v>79228</v>
      </c>
      <c r="F9" s="215">
        <f>$F$21*4</f>
        <v>23768</v>
      </c>
      <c r="G9" s="215">
        <f>$G$21*4</f>
        <v>39612</v>
      </c>
      <c r="H9" s="215">
        <f>$H$21*4</f>
        <v>63380</v>
      </c>
      <c r="I9" s="116">
        <f>ROUNDUP(E21/2*4,0)</f>
        <v>39614</v>
      </c>
      <c r="J9" s="116">
        <f t="shared" ref="J9:L9" si="11">ROUNDUP(F21/2*4,0)</f>
        <v>11884</v>
      </c>
      <c r="K9" s="116">
        <f t="shared" si="11"/>
        <v>19806</v>
      </c>
      <c r="L9" s="116">
        <f t="shared" si="11"/>
        <v>31690</v>
      </c>
      <c r="M9" s="230">
        <f>E21/2*2</f>
        <v>19807</v>
      </c>
      <c r="N9" s="230">
        <f t="shared" ref="N9:P9" si="12">F21/2*2</f>
        <v>5942</v>
      </c>
      <c r="O9" s="230">
        <f t="shared" si="12"/>
        <v>9903</v>
      </c>
      <c r="P9" s="230">
        <f t="shared" si="12"/>
        <v>15845</v>
      </c>
      <c r="Q9" s="237"/>
      <c r="R9" s="238"/>
      <c r="S9" s="238"/>
      <c r="T9" s="238"/>
    </row>
    <row r="10" spans="1:20">
      <c r="A10" s="213" t="str">
        <f t="shared" si="0"/>
        <v>413</v>
      </c>
      <c r="B10" s="214">
        <f t="shared" si="1"/>
        <v>4</v>
      </c>
      <c r="C10" s="214">
        <v>1</v>
      </c>
      <c r="D10" s="214">
        <v>3</v>
      </c>
      <c r="E10" s="215">
        <f>$E$21*4</f>
        <v>79228</v>
      </c>
      <c r="F10" s="215">
        <f>$F$21*4</f>
        <v>23768</v>
      </c>
      <c r="G10" s="215">
        <f t="shared" ref="G10:G13" si="13">$G$21*4</f>
        <v>39612</v>
      </c>
      <c r="H10" s="215">
        <f t="shared" ref="H10:H13" si="14">$H$21*4</f>
        <v>63380</v>
      </c>
      <c r="I10" s="116">
        <f>ROUNDUP(E21/2*3,0)</f>
        <v>29711</v>
      </c>
      <c r="J10" s="116">
        <f t="shared" ref="J10:L10" si="15">ROUNDUP(F21/2*3,0)</f>
        <v>8913</v>
      </c>
      <c r="K10" s="116">
        <f t="shared" si="15"/>
        <v>14855</v>
      </c>
      <c r="L10" s="116">
        <f t="shared" si="15"/>
        <v>23768</v>
      </c>
      <c r="M10" s="230">
        <f>E21/2*2</f>
        <v>19807</v>
      </c>
      <c r="N10" s="230">
        <f t="shared" ref="N10:P10" si="16">F21/2*2</f>
        <v>5942</v>
      </c>
      <c r="O10" s="230">
        <f t="shared" si="16"/>
        <v>9903</v>
      </c>
      <c r="P10" s="230">
        <f t="shared" si="16"/>
        <v>15845</v>
      </c>
      <c r="Q10" s="237"/>
      <c r="R10" s="238"/>
      <c r="S10" s="238"/>
      <c r="T10" s="238"/>
    </row>
    <row r="11" spans="1:20">
      <c r="A11" s="213" t="str">
        <f t="shared" si="0"/>
        <v>422</v>
      </c>
      <c r="B11" s="214">
        <f t="shared" si="1"/>
        <v>4</v>
      </c>
      <c r="C11" s="214">
        <v>2</v>
      </c>
      <c r="D11" s="214">
        <v>2</v>
      </c>
      <c r="E11" s="215">
        <f>$E$21*4</f>
        <v>79228</v>
      </c>
      <c r="F11" s="215">
        <f>$F$21*4</f>
        <v>23768</v>
      </c>
      <c r="G11" s="215">
        <f t="shared" si="13"/>
        <v>39612</v>
      </c>
      <c r="H11" s="215">
        <f t="shared" si="14"/>
        <v>63380</v>
      </c>
      <c r="I11" s="116">
        <f>ROUNDUP(E21/2*2,0)</f>
        <v>19807</v>
      </c>
      <c r="J11" s="116">
        <f t="shared" ref="J11:L11" si="17">ROUNDUP(F21/2*2,0)</f>
        <v>5942</v>
      </c>
      <c r="K11" s="116">
        <f>ROUNDUP(G21/2*2,0)</f>
        <v>9903</v>
      </c>
      <c r="L11" s="116">
        <f t="shared" si="17"/>
        <v>15845</v>
      </c>
      <c r="M11" s="230">
        <f>E21/2*3</f>
        <v>29710.5</v>
      </c>
      <c r="N11" s="230">
        <f t="shared" ref="N11:P11" si="18">F21/2*3</f>
        <v>8913</v>
      </c>
      <c r="O11" s="230">
        <f t="shared" si="18"/>
        <v>14854.5</v>
      </c>
      <c r="P11" s="230">
        <f t="shared" si="18"/>
        <v>23767.5</v>
      </c>
      <c r="Q11" s="237"/>
      <c r="R11" s="238"/>
      <c r="S11" s="238"/>
      <c r="T11" s="238"/>
    </row>
    <row r="12" spans="1:20">
      <c r="A12" s="213" t="str">
        <f t="shared" si="0"/>
        <v>431</v>
      </c>
      <c r="B12" s="214">
        <f t="shared" si="1"/>
        <v>4</v>
      </c>
      <c r="C12" s="214">
        <v>3</v>
      </c>
      <c r="D12" s="214">
        <v>1</v>
      </c>
      <c r="E12" s="215">
        <f>$E$21*4</f>
        <v>79228</v>
      </c>
      <c r="F12" s="215">
        <f>$F$21*4</f>
        <v>23768</v>
      </c>
      <c r="G12" s="215">
        <f t="shared" si="13"/>
        <v>39612</v>
      </c>
      <c r="H12" s="215">
        <f t="shared" si="14"/>
        <v>63380</v>
      </c>
      <c r="I12" s="116">
        <f>ROUNDUP(E21/2*1,0)</f>
        <v>9904</v>
      </c>
      <c r="J12" s="116">
        <f t="shared" ref="J12:L12" si="19">ROUNDUP(F21/2*1,0)</f>
        <v>2971</v>
      </c>
      <c r="K12" s="116">
        <f t="shared" si="19"/>
        <v>4952</v>
      </c>
      <c r="L12" s="116">
        <f t="shared" si="19"/>
        <v>7923</v>
      </c>
      <c r="M12" s="230">
        <f>E21+E21</f>
        <v>39614</v>
      </c>
      <c r="N12" s="230">
        <f>F21+F21</f>
        <v>11884</v>
      </c>
      <c r="O12" s="230">
        <f t="shared" ref="O12:P12" si="20">G21+G21</f>
        <v>19806</v>
      </c>
      <c r="P12" s="230">
        <f t="shared" si="20"/>
        <v>31690</v>
      </c>
      <c r="Q12" s="237"/>
      <c r="R12" s="238"/>
      <c r="S12" s="238"/>
      <c r="T12" s="238"/>
    </row>
    <row r="13" spans="1:20">
      <c r="A13" s="213" t="str">
        <f t="shared" si="0"/>
        <v>440</v>
      </c>
      <c r="B13" s="214">
        <f t="shared" si="1"/>
        <v>4</v>
      </c>
      <c r="C13" s="214">
        <v>4</v>
      </c>
      <c r="D13" s="214">
        <v>0</v>
      </c>
      <c r="E13" s="215">
        <f>$E$21*4</f>
        <v>79228</v>
      </c>
      <c r="F13" s="215">
        <f>$F$21*4</f>
        <v>23768</v>
      </c>
      <c r="G13" s="215">
        <f t="shared" si="13"/>
        <v>39612</v>
      </c>
      <c r="H13" s="215">
        <f t="shared" si="14"/>
        <v>63380</v>
      </c>
      <c r="I13" s="116">
        <v>0</v>
      </c>
      <c r="J13" s="116">
        <v>0</v>
      </c>
      <c r="K13" s="116">
        <v>0</v>
      </c>
      <c r="L13" s="116">
        <v>0</v>
      </c>
      <c r="M13" s="230">
        <f>E21/2+E21*2</f>
        <v>49517.5</v>
      </c>
      <c r="N13" s="230">
        <f t="shared" ref="N13:P13" si="21">F21/2+F21*2</f>
        <v>14855</v>
      </c>
      <c r="O13" s="230">
        <f t="shared" si="21"/>
        <v>24757.5</v>
      </c>
      <c r="P13" s="230">
        <f t="shared" si="21"/>
        <v>39612.5</v>
      </c>
      <c r="Q13" s="237"/>
      <c r="R13" s="238"/>
      <c r="S13" s="238"/>
      <c r="T13" s="238"/>
    </row>
    <row r="14" spans="1:20">
      <c r="A14" s="216" t="str">
        <f t="shared" si="0"/>
        <v>505</v>
      </c>
      <c r="B14" s="217">
        <f t="shared" si="1"/>
        <v>5</v>
      </c>
      <c r="C14" s="217">
        <v>0</v>
      </c>
      <c r="D14" s="217">
        <v>5</v>
      </c>
      <c r="E14" s="218">
        <f t="shared" ref="E14:E19" si="22">$E$21*5</f>
        <v>99035</v>
      </c>
      <c r="F14" s="218">
        <f t="shared" ref="F14:F19" si="23">$F$21*5</f>
        <v>29710</v>
      </c>
      <c r="G14" s="218">
        <f>$G$21*5</f>
        <v>49515</v>
      </c>
      <c r="H14" s="218">
        <f>$H$21*5</f>
        <v>79225</v>
      </c>
      <c r="I14" s="116">
        <f>ROUNDUP(E21/2*5,0)</f>
        <v>49518</v>
      </c>
      <c r="J14" s="116">
        <f t="shared" ref="J14:L14" si="24">ROUNDUP(F21/2*5,0)</f>
        <v>14855</v>
      </c>
      <c r="K14" s="116">
        <f t="shared" si="24"/>
        <v>24758</v>
      </c>
      <c r="L14" s="116">
        <f t="shared" si="24"/>
        <v>39613</v>
      </c>
      <c r="M14" s="230">
        <f>E21/2*3</f>
        <v>29710.5</v>
      </c>
      <c r="N14" s="230">
        <f t="shared" ref="N14:P14" si="25">F21/2*3</f>
        <v>8913</v>
      </c>
      <c r="O14" s="230">
        <f t="shared" si="25"/>
        <v>14854.5</v>
      </c>
      <c r="P14" s="230">
        <f t="shared" si="25"/>
        <v>23767.5</v>
      </c>
      <c r="Q14" s="237"/>
      <c r="R14" s="238"/>
      <c r="S14" s="238"/>
      <c r="T14" s="238"/>
    </row>
    <row r="15" spans="1:20">
      <c r="A15" s="216" t="str">
        <f t="shared" si="0"/>
        <v>514</v>
      </c>
      <c r="B15" s="217">
        <f t="shared" si="1"/>
        <v>5</v>
      </c>
      <c r="C15" s="217">
        <v>1</v>
      </c>
      <c r="D15" s="217">
        <v>4</v>
      </c>
      <c r="E15" s="218">
        <f t="shared" si="22"/>
        <v>99035</v>
      </c>
      <c r="F15" s="218">
        <f t="shared" si="23"/>
        <v>29710</v>
      </c>
      <c r="G15" s="218">
        <f t="shared" ref="G15:G19" si="26">$G$21*5</f>
        <v>49515</v>
      </c>
      <c r="H15" s="218">
        <f t="shared" ref="H15:H19" si="27">$H$21*5</f>
        <v>79225</v>
      </c>
      <c r="I15" s="116">
        <f>ROUNDUP(E21/2*4,0)</f>
        <v>39614</v>
      </c>
      <c r="J15" s="116">
        <f t="shared" ref="J15:L15" si="28">ROUNDUP(F21/2*4,0)</f>
        <v>11884</v>
      </c>
      <c r="K15" s="116">
        <f t="shared" si="28"/>
        <v>19806</v>
      </c>
      <c r="L15" s="116">
        <f t="shared" si="28"/>
        <v>31690</v>
      </c>
      <c r="M15" s="230">
        <f>E21/2*3</f>
        <v>29710.5</v>
      </c>
      <c r="N15" s="230">
        <f t="shared" ref="N15:P15" si="29">F21/2*3</f>
        <v>8913</v>
      </c>
      <c r="O15" s="230">
        <f t="shared" si="29"/>
        <v>14854.5</v>
      </c>
      <c r="P15" s="230">
        <f t="shared" si="29"/>
        <v>23767.5</v>
      </c>
      <c r="Q15" s="237"/>
      <c r="R15" s="238"/>
      <c r="S15" s="238"/>
      <c r="T15" s="238"/>
    </row>
    <row r="16" spans="1:20">
      <c r="A16" s="216" t="str">
        <f t="shared" si="0"/>
        <v>523</v>
      </c>
      <c r="B16" s="217">
        <f t="shared" si="1"/>
        <v>5</v>
      </c>
      <c r="C16" s="217">
        <v>2</v>
      </c>
      <c r="D16" s="217">
        <v>3</v>
      </c>
      <c r="E16" s="218">
        <f t="shared" si="22"/>
        <v>99035</v>
      </c>
      <c r="F16" s="218">
        <f t="shared" si="23"/>
        <v>29710</v>
      </c>
      <c r="G16" s="218">
        <f t="shared" si="26"/>
        <v>49515</v>
      </c>
      <c r="H16" s="218">
        <f t="shared" si="27"/>
        <v>79225</v>
      </c>
      <c r="I16" s="116">
        <f>ROUNDUP(E21/2*3,0)</f>
        <v>29711</v>
      </c>
      <c r="J16" s="116">
        <f t="shared" ref="J16:L16" si="30">ROUNDUP(F21/2*3,0)</f>
        <v>8913</v>
      </c>
      <c r="K16" s="116">
        <f t="shared" si="30"/>
        <v>14855</v>
      </c>
      <c r="L16" s="116">
        <f t="shared" si="30"/>
        <v>23768</v>
      </c>
      <c r="M16" s="230">
        <f>E21/2*4</f>
        <v>39614</v>
      </c>
      <c r="N16" s="230">
        <f t="shared" ref="N16:P16" si="31">F21/2*4</f>
        <v>11884</v>
      </c>
      <c r="O16" s="230">
        <f t="shared" si="31"/>
        <v>19806</v>
      </c>
      <c r="P16" s="230">
        <f t="shared" si="31"/>
        <v>31690</v>
      </c>
      <c r="Q16" s="237"/>
      <c r="R16" s="238"/>
      <c r="S16" s="238"/>
      <c r="T16" s="238"/>
    </row>
    <row r="17" spans="1:20">
      <c r="A17" s="216" t="str">
        <f t="shared" si="0"/>
        <v>532</v>
      </c>
      <c r="B17" s="217">
        <f t="shared" si="1"/>
        <v>5</v>
      </c>
      <c r="C17" s="217">
        <v>3</v>
      </c>
      <c r="D17" s="217">
        <v>2</v>
      </c>
      <c r="E17" s="218">
        <f t="shared" si="22"/>
        <v>99035</v>
      </c>
      <c r="F17" s="218">
        <f t="shared" si="23"/>
        <v>29710</v>
      </c>
      <c r="G17" s="218">
        <f t="shared" si="26"/>
        <v>49515</v>
      </c>
      <c r="H17" s="218">
        <f t="shared" si="27"/>
        <v>79225</v>
      </c>
      <c r="I17" s="116">
        <f>ROUNDUP(E21/2*2,0)</f>
        <v>19807</v>
      </c>
      <c r="J17" s="116">
        <f t="shared" ref="J17:L17" si="32">ROUNDUP(F21/2*2,0)</f>
        <v>5942</v>
      </c>
      <c r="K17" s="116">
        <f t="shared" si="32"/>
        <v>9903</v>
      </c>
      <c r="L17" s="116">
        <f t="shared" si="32"/>
        <v>15845</v>
      </c>
      <c r="M17" s="230">
        <f>E21/2*3+E21</f>
        <v>49517.5</v>
      </c>
      <c r="N17" s="230">
        <f t="shared" ref="N17:P17" si="33">F21/2*3+F21</f>
        <v>14855</v>
      </c>
      <c r="O17" s="230">
        <f t="shared" si="33"/>
        <v>24757.5</v>
      </c>
      <c r="P17" s="230">
        <f t="shared" si="33"/>
        <v>39612.5</v>
      </c>
      <c r="Q17" s="237"/>
      <c r="R17" s="238"/>
      <c r="S17" s="238"/>
      <c r="T17" s="238"/>
    </row>
    <row r="18" spans="1:20">
      <c r="A18" s="216" t="str">
        <f t="shared" si="0"/>
        <v>541</v>
      </c>
      <c r="B18" s="217">
        <f t="shared" si="1"/>
        <v>5</v>
      </c>
      <c r="C18" s="217">
        <v>4</v>
      </c>
      <c r="D18" s="217">
        <v>1</v>
      </c>
      <c r="E18" s="218">
        <f t="shared" si="22"/>
        <v>99035</v>
      </c>
      <c r="F18" s="218">
        <f t="shared" si="23"/>
        <v>29710</v>
      </c>
      <c r="G18" s="218">
        <f t="shared" si="26"/>
        <v>49515</v>
      </c>
      <c r="H18" s="218">
        <f t="shared" si="27"/>
        <v>79225</v>
      </c>
      <c r="I18" s="116">
        <f>ROUNDUP(E21/2*1,0)</f>
        <v>9904</v>
      </c>
      <c r="J18" s="116">
        <f t="shared" ref="J18:L18" si="34">ROUNDUP(F21/2*1,0)</f>
        <v>2971</v>
      </c>
      <c r="K18" s="116">
        <f t="shared" si="34"/>
        <v>4952</v>
      </c>
      <c r="L18" s="116">
        <f t="shared" si="34"/>
        <v>7923</v>
      </c>
      <c r="M18" s="230">
        <f>E21/2*2+E21*2</f>
        <v>59421</v>
      </c>
      <c r="N18" s="230">
        <f t="shared" ref="N18:P18" si="35">F21/2*2+F21*2</f>
        <v>17826</v>
      </c>
      <c r="O18" s="230">
        <f t="shared" si="35"/>
        <v>29709</v>
      </c>
      <c r="P18" s="230">
        <f t="shared" si="35"/>
        <v>47535</v>
      </c>
      <c r="Q18" s="237"/>
      <c r="R18" s="238"/>
      <c r="S18" s="238"/>
      <c r="T18" s="238"/>
    </row>
    <row r="19" spans="1:20">
      <c r="A19" s="216" t="str">
        <f t="shared" si="0"/>
        <v>550</v>
      </c>
      <c r="B19" s="217">
        <f t="shared" si="1"/>
        <v>5</v>
      </c>
      <c r="C19" s="217">
        <v>5</v>
      </c>
      <c r="D19" s="217">
        <v>0</v>
      </c>
      <c r="E19" s="218">
        <f t="shared" si="22"/>
        <v>99035</v>
      </c>
      <c r="F19" s="218">
        <f t="shared" si="23"/>
        <v>29710</v>
      </c>
      <c r="G19" s="218">
        <f t="shared" si="26"/>
        <v>49515</v>
      </c>
      <c r="H19" s="218">
        <f t="shared" si="27"/>
        <v>79225</v>
      </c>
      <c r="I19" s="116">
        <v>0</v>
      </c>
      <c r="J19" s="116">
        <v>0</v>
      </c>
      <c r="K19" s="116">
        <v>0</v>
      </c>
      <c r="L19" s="116">
        <v>0</v>
      </c>
      <c r="M19" s="230">
        <f>E21/2+E21*3</f>
        <v>69324.5</v>
      </c>
      <c r="N19" s="230">
        <f t="shared" ref="N19:P19" si="36">F21/2+F21*3</f>
        <v>20797</v>
      </c>
      <c r="O19" s="230">
        <f t="shared" si="36"/>
        <v>34660.5</v>
      </c>
      <c r="P19" s="230">
        <f t="shared" si="36"/>
        <v>55457.5</v>
      </c>
      <c r="Q19" s="237"/>
      <c r="R19" s="238"/>
      <c r="S19" s="238"/>
      <c r="T19" s="238"/>
    </row>
    <row r="20" spans="1:20">
      <c r="E20" s="117" t="s">
        <v>106</v>
      </c>
      <c r="F20" s="117" t="s">
        <v>106</v>
      </c>
      <c r="G20" s="117" t="s">
        <v>106</v>
      </c>
      <c r="H20" s="117" t="s">
        <v>106</v>
      </c>
      <c r="I20" s="117"/>
      <c r="J20" s="117"/>
      <c r="K20" s="117"/>
      <c r="L20" s="117"/>
      <c r="M20" s="117"/>
      <c r="N20" s="117"/>
      <c r="O20" s="117"/>
      <c r="P20" s="117"/>
    </row>
    <row r="21" spans="1:20">
      <c r="D21" s="88" t="s">
        <v>140</v>
      </c>
      <c r="E21" s="118">
        <f>算定基礎!D13</f>
        <v>19807</v>
      </c>
      <c r="F21" s="120">
        <f>ROUNDDOWN(E21*0.3,0)</f>
        <v>5942</v>
      </c>
      <c r="G21" s="120">
        <f>ROUNDDOWN(E21*0.5,0)</f>
        <v>9903</v>
      </c>
      <c r="H21" s="120">
        <f>ROUNDDOWN(E21*0.8,0)</f>
        <v>15845</v>
      </c>
      <c r="I21" s="117"/>
      <c r="J21" s="117"/>
      <c r="K21" s="117"/>
      <c r="L21" s="117"/>
      <c r="M21" s="117"/>
      <c r="N21" s="117"/>
      <c r="O21" s="117"/>
      <c r="P21" s="117"/>
    </row>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4FA0-438F-46DD-86F6-81DDA35BA8C3}">
  <dimension ref="A1:Q21"/>
  <sheetViews>
    <sheetView zoomScaleNormal="100" workbookViewId="0">
      <pane xSplit="4" ySplit="1" topLeftCell="E2" activePane="bottomRight" state="frozen"/>
      <selection pane="topRight" activeCell="D1" sqref="D1"/>
      <selection pane="bottomLeft" activeCell="A2" sqref="A2"/>
      <selection pane="bottomRight" activeCell="M10" sqref="M10"/>
    </sheetView>
  </sheetViews>
  <sheetFormatPr defaultRowHeight="13.5"/>
  <cols>
    <col min="1" max="1" width="5.25" style="89" bestFit="1" customWidth="1"/>
    <col min="2" max="2" width="5.625" style="87" bestFit="1" customWidth="1"/>
    <col min="3" max="3" width="8.375" style="87" bestFit="1" customWidth="1"/>
    <col min="4" max="4" width="5.625" style="87" bestFit="1" customWidth="1"/>
    <col min="5" max="8" width="9.75" style="87" bestFit="1" customWidth="1"/>
    <col min="9" max="9" width="8.375" style="87" bestFit="1" customWidth="1"/>
    <col min="10" max="10" width="9.75" style="87" customWidth="1"/>
    <col min="11" max="12" width="8.375" style="87" bestFit="1" customWidth="1"/>
    <col min="13" max="13" width="8" style="87" bestFit="1" customWidth="1"/>
    <col min="14" max="16" width="6.875" style="87" bestFit="1" customWidth="1"/>
    <col min="17" max="16384" width="9" style="87"/>
  </cols>
  <sheetData>
    <row r="1" spans="1:17" ht="38.25" customHeight="1">
      <c r="A1" s="90" t="s">
        <v>29</v>
      </c>
      <c r="B1" s="84" t="s">
        <v>152</v>
      </c>
      <c r="C1" s="84" t="s">
        <v>126</v>
      </c>
      <c r="D1" s="84" t="s">
        <v>127</v>
      </c>
      <c r="E1" s="84" t="s">
        <v>128</v>
      </c>
      <c r="F1" s="84" t="s">
        <v>129</v>
      </c>
      <c r="G1" s="84" t="s">
        <v>130</v>
      </c>
      <c r="H1" s="84" t="s">
        <v>131</v>
      </c>
      <c r="I1" s="85" t="s">
        <v>148</v>
      </c>
      <c r="J1" s="85" t="s">
        <v>149</v>
      </c>
      <c r="K1" s="85" t="s">
        <v>150</v>
      </c>
      <c r="L1" s="85" t="s">
        <v>151</v>
      </c>
      <c r="M1" s="86" t="s">
        <v>136</v>
      </c>
      <c r="N1" s="86" t="s">
        <v>137</v>
      </c>
      <c r="O1" s="86" t="s">
        <v>138</v>
      </c>
      <c r="P1" s="86" t="s">
        <v>139</v>
      </c>
    </row>
    <row r="2" spans="1:17">
      <c r="A2" s="207" t="str">
        <f>B2&amp;C2&amp;D2</f>
        <v>202</v>
      </c>
      <c r="B2" s="208">
        <f>SUM(C2:D2)</f>
        <v>2</v>
      </c>
      <c r="C2" s="208">
        <v>0</v>
      </c>
      <c r="D2" s="208">
        <v>2</v>
      </c>
      <c r="E2" s="209">
        <f>$E$21*2</f>
        <v>20882</v>
      </c>
      <c r="F2" s="209">
        <f>$F$21*2</f>
        <v>6264</v>
      </c>
      <c r="G2" s="209">
        <f>$G$21*2</f>
        <v>10440</v>
      </c>
      <c r="H2" s="209">
        <f>$H$21*2</f>
        <v>16704</v>
      </c>
      <c r="I2" s="116">
        <f>ROUNDUP(E21/2*2,0)</f>
        <v>10441</v>
      </c>
      <c r="J2" s="116">
        <f>F21/2*2</f>
        <v>3132</v>
      </c>
      <c r="K2" s="116">
        <f>G21/2*2</f>
        <v>5220</v>
      </c>
      <c r="L2" s="116">
        <f t="shared" ref="L2" si="0">H21/2*2</f>
        <v>8352</v>
      </c>
      <c r="M2" s="230">
        <v>0</v>
      </c>
      <c r="N2" s="230">
        <v>0</v>
      </c>
      <c r="O2" s="230">
        <v>0</v>
      </c>
      <c r="P2" s="230">
        <v>0</v>
      </c>
      <c r="Q2" s="232"/>
    </row>
    <row r="3" spans="1:17">
      <c r="A3" s="207" t="str">
        <f t="shared" ref="A3:A19" si="1">B3&amp;C3&amp;D3</f>
        <v>211</v>
      </c>
      <c r="B3" s="208">
        <f t="shared" ref="B3:B19" si="2">SUM(C3:D3)</f>
        <v>2</v>
      </c>
      <c r="C3" s="208">
        <v>1</v>
      </c>
      <c r="D3" s="208">
        <v>1</v>
      </c>
      <c r="E3" s="209">
        <f>$E$21*2</f>
        <v>20882</v>
      </c>
      <c r="F3" s="209">
        <f>$F$21*2</f>
        <v>6264</v>
      </c>
      <c r="G3" s="209">
        <f>$G$21*2</f>
        <v>10440</v>
      </c>
      <c r="H3" s="209">
        <f>$H$21*2</f>
        <v>16704</v>
      </c>
      <c r="I3" s="116">
        <f>ROUNDUP(E21/2*1,0)</f>
        <v>5221</v>
      </c>
      <c r="J3" s="116">
        <f t="shared" ref="J3:L3" si="3">ROUNDUP(F21/2*1,0)</f>
        <v>1566</v>
      </c>
      <c r="K3" s="116">
        <f t="shared" si="3"/>
        <v>2610</v>
      </c>
      <c r="L3" s="116">
        <f t="shared" si="3"/>
        <v>4176</v>
      </c>
      <c r="M3" s="230">
        <v>0</v>
      </c>
      <c r="N3" s="230">
        <v>0</v>
      </c>
      <c r="O3" s="230">
        <v>0</v>
      </c>
      <c r="P3" s="230">
        <v>0</v>
      </c>
      <c r="Q3" s="232"/>
    </row>
    <row r="4" spans="1:17">
      <c r="A4" s="207" t="str">
        <f t="shared" si="1"/>
        <v>220</v>
      </c>
      <c r="B4" s="208">
        <f t="shared" si="2"/>
        <v>2</v>
      </c>
      <c r="C4" s="208">
        <v>2</v>
      </c>
      <c r="D4" s="208">
        <v>0</v>
      </c>
      <c r="E4" s="209">
        <f>$E$21*2</f>
        <v>20882</v>
      </c>
      <c r="F4" s="209">
        <f>$F$21*2</f>
        <v>6264</v>
      </c>
      <c r="G4" s="209">
        <f>$G$21*2</f>
        <v>10440</v>
      </c>
      <c r="H4" s="209">
        <f>$H$21*2</f>
        <v>16704</v>
      </c>
      <c r="I4" s="116">
        <v>0</v>
      </c>
      <c r="J4" s="116">
        <v>0</v>
      </c>
      <c r="K4" s="116">
        <v>0</v>
      </c>
      <c r="L4" s="116">
        <v>0</v>
      </c>
      <c r="M4" s="230">
        <f>E21/2</f>
        <v>5220.5</v>
      </c>
      <c r="N4" s="230">
        <f>F21/2</f>
        <v>1566</v>
      </c>
      <c r="O4" s="230">
        <f>G21/2</f>
        <v>2610</v>
      </c>
      <c r="P4" s="230">
        <f>H21/2</f>
        <v>4176</v>
      </c>
      <c r="Q4" s="232"/>
    </row>
    <row r="5" spans="1:17">
      <c r="A5" s="210" t="str">
        <f t="shared" si="1"/>
        <v>303</v>
      </c>
      <c r="B5" s="211">
        <f t="shared" si="2"/>
        <v>3</v>
      </c>
      <c r="C5" s="211">
        <v>0</v>
      </c>
      <c r="D5" s="211">
        <v>3</v>
      </c>
      <c r="E5" s="212">
        <f>$E$21*3</f>
        <v>31323</v>
      </c>
      <c r="F5" s="212">
        <f>$F$21*3</f>
        <v>9396</v>
      </c>
      <c r="G5" s="212">
        <f>$G$21*3</f>
        <v>15660</v>
      </c>
      <c r="H5" s="212">
        <f>$H$21*3</f>
        <v>25056</v>
      </c>
      <c r="I5" s="116">
        <f>ROUNDUP(E21/2*3,0)</f>
        <v>15662</v>
      </c>
      <c r="J5" s="116">
        <f t="shared" ref="J5:L5" si="4">ROUNDUP(F21/2*3,0)</f>
        <v>4698</v>
      </c>
      <c r="K5" s="116">
        <f t="shared" si="4"/>
        <v>7830</v>
      </c>
      <c r="L5" s="116">
        <f t="shared" si="4"/>
        <v>12528</v>
      </c>
      <c r="M5" s="230">
        <f>E21/2</f>
        <v>5220.5</v>
      </c>
      <c r="N5" s="230">
        <f t="shared" ref="N5:P5" si="5">F21/2</f>
        <v>1566</v>
      </c>
      <c r="O5" s="230">
        <f t="shared" si="5"/>
        <v>2610</v>
      </c>
      <c r="P5" s="230">
        <f t="shared" si="5"/>
        <v>4176</v>
      </c>
      <c r="Q5" s="232"/>
    </row>
    <row r="6" spans="1:17">
      <c r="A6" s="210" t="str">
        <f t="shared" si="1"/>
        <v>312</v>
      </c>
      <c r="B6" s="211">
        <f t="shared" si="2"/>
        <v>3</v>
      </c>
      <c r="C6" s="211">
        <v>1</v>
      </c>
      <c r="D6" s="211">
        <v>2</v>
      </c>
      <c r="E6" s="212">
        <f>$E$21*3</f>
        <v>31323</v>
      </c>
      <c r="F6" s="212">
        <f>$F$21*3</f>
        <v>9396</v>
      </c>
      <c r="G6" s="212">
        <f t="shared" ref="G6:G8" si="6">$G$21*3</f>
        <v>15660</v>
      </c>
      <c r="H6" s="212">
        <f>$H$21*3</f>
        <v>25056</v>
      </c>
      <c r="I6" s="116">
        <f>ROUNDUP(E21/2*2,0)</f>
        <v>10441</v>
      </c>
      <c r="J6" s="116">
        <f t="shared" ref="J6:L6" si="7">ROUNDUP(F21/2*2,0)</f>
        <v>3132</v>
      </c>
      <c r="K6" s="116">
        <f t="shared" si="7"/>
        <v>5220</v>
      </c>
      <c r="L6" s="116">
        <f t="shared" si="7"/>
        <v>8352</v>
      </c>
      <c r="M6" s="230">
        <f>E21/2</f>
        <v>5220.5</v>
      </c>
      <c r="N6" s="230">
        <f t="shared" ref="N6:P6" si="8">F21/2</f>
        <v>1566</v>
      </c>
      <c r="O6" s="230">
        <f t="shared" si="8"/>
        <v>2610</v>
      </c>
      <c r="P6" s="230">
        <f t="shared" si="8"/>
        <v>4176</v>
      </c>
      <c r="Q6" s="232"/>
    </row>
    <row r="7" spans="1:17">
      <c r="A7" s="210" t="str">
        <f t="shared" si="1"/>
        <v>321</v>
      </c>
      <c r="B7" s="211">
        <f t="shared" si="2"/>
        <v>3</v>
      </c>
      <c r="C7" s="211">
        <v>2</v>
      </c>
      <c r="D7" s="211">
        <v>1</v>
      </c>
      <c r="E7" s="212">
        <f>$E$21*3</f>
        <v>31323</v>
      </c>
      <c r="F7" s="212">
        <f>$F$21*3</f>
        <v>9396</v>
      </c>
      <c r="G7" s="212">
        <f t="shared" si="6"/>
        <v>15660</v>
      </c>
      <c r="H7" s="212">
        <f t="shared" ref="H7:H8" si="9">$H$21*3</f>
        <v>25056</v>
      </c>
      <c r="I7" s="116">
        <f>ROUNDUP(E21/2*1,0)</f>
        <v>5221</v>
      </c>
      <c r="J7" s="116">
        <f t="shared" ref="J7:L7" si="10">ROUNDUP(F21/2*1,0)</f>
        <v>1566</v>
      </c>
      <c r="K7" s="116">
        <f t="shared" si="10"/>
        <v>2610</v>
      </c>
      <c r="L7" s="116">
        <f t="shared" si="10"/>
        <v>4176</v>
      </c>
      <c r="M7" s="230">
        <f>E21</f>
        <v>10441</v>
      </c>
      <c r="N7" s="230">
        <f>F21</f>
        <v>3132</v>
      </c>
      <c r="O7" s="230">
        <f>G21</f>
        <v>5220</v>
      </c>
      <c r="P7" s="230">
        <f>H21</f>
        <v>8352</v>
      </c>
      <c r="Q7" s="232"/>
    </row>
    <row r="8" spans="1:17">
      <c r="A8" s="210" t="str">
        <f t="shared" si="1"/>
        <v>330</v>
      </c>
      <c r="B8" s="211">
        <f t="shared" si="2"/>
        <v>3</v>
      </c>
      <c r="C8" s="211">
        <v>3</v>
      </c>
      <c r="D8" s="211">
        <v>0</v>
      </c>
      <c r="E8" s="212">
        <f>$E$21*3</f>
        <v>31323</v>
      </c>
      <c r="F8" s="212">
        <f>$F$21*3</f>
        <v>9396</v>
      </c>
      <c r="G8" s="212">
        <f t="shared" si="6"/>
        <v>15660</v>
      </c>
      <c r="H8" s="212">
        <f t="shared" si="9"/>
        <v>25056</v>
      </c>
      <c r="I8" s="116">
        <v>0</v>
      </c>
      <c r="J8" s="116">
        <v>0</v>
      </c>
      <c r="K8" s="116">
        <v>0</v>
      </c>
      <c r="L8" s="116">
        <v>0</v>
      </c>
      <c r="M8" s="230">
        <f>E21/2+E21</f>
        <v>15661.5</v>
      </c>
      <c r="N8" s="230">
        <f>F21/2+F21</f>
        <v>4698</v>
      </c>
      <c r="O8" s="230">
        <f t="shared" ref="O8:P8" si="11">G21/2+G21</f>
        <v>7830</v>
      </c>
      <c r="P8" s="230">
        <f t="shared" si="11"/>
        <v>12528</v>
      </c>
      <c r="Q8" s="232"/>
    </row>
    <row r="9" spans="1:17">
      <c r="A9" s="213" t="str">
        <f t="shared" si="1"/>
        <v>404</v>
      </c>
      <c r="B9" s="214">
        <f t="shared" si="2"/>
        <v>4</v>
      </c>
      <c r="C9" s="214">
        <v>0</v>
      </c>
      <c r="D9" s="214">
        <v>4</v>
      </c>
      <c r="E9" s="215">
        <f>$E$21*4</f>
        <v>41764</v>
      </c>
      <c r="F9" s="215">
        <f>$F$21*4</f>
        <v>12528</v>
      </c>
      <c r="G9" s="215">
        <f>$G$21*4</f>
        <v>20880</v>
      </c>
      <c r="H9" s="215">
        <f>$H$21*4</f>
        <v>33408</v>
      </c>
      <c r="I9" s="116">
        <f>ROUNDUP(E21/2*4,0)</f>
        <v>20882</v>
      </c>
      <c r="J9" s="116">
        <f t="shared" ref="J9:L9" si="12">ROUNDUP(F21/2*4,0)</f>
        <v>6264</v>
      </c>
      <c r="K9" s="116">
        <f t="shared" si="12"/>
        <v>10440</v>
      </c>
      <c r="L9" s="116">
        <f t="shared" si="12"/>
        <v>16704</v>
      </c>
      <c r="M9" s="230">
        <f>E21/2*2</f>
        <v>10441</v>
      </c>
      <c r="N9" s="230">
        <f t="shared" ref="N9:P9" si="13">F21/2*2</f>
        <v>3132</v>
      </c>
      <c r="O9" s="230">
        <f t="shared" si="13"/>
        <v>5220</v>
      </c>
      <c r="P9" s="230">
        <f t="shared" si="13"/>
        <v>8352</v>
      </c>
      <c r="Q9" s="232"/>
    </row>
    <row r="10" spans="1:17">
      <c r="A10" s="213" t="str">
        <f t="shared" si="1"/>
        <v>413</v>
      </c>
      <c r="B10" s="214">
        <f t="shared" si="2"/>
        <v>4</v>
      </c>
      <c r="C10" s="214">
        <v>1</v>
      </c>
      <c r="D10" s="214">
        <v>3</v>
      </c>
      <c r="E10" s="215">
        <f>$E$21*4</f>
        <v>41764</v>
      </c>
      <c r="F10" s="215">
        <f>$F$21*4</f>
        <v>12528</v>
      </c>
      <c r="G10" s="215">
        <f t="shared" ref="G10:G13" si="14">$G$21*4</f>
        <v>20880</v>
      </c>
      <c r="H10" s="215">
        <f t="shared" ref="H10:H13" si="15">$H$21*4</f>
        <v>33408</v>
      </c>
      <c r="I10" s="116">
        <f>ROUNDUP(E21/2*3,0)</f>
        <v>15662</v>
      </c>
      <c r="J10" s="116">
        <f t="shared" ref="J10:L10" si="16">ROUNDUP(F21/2*3,0)</f>
        <v>4698</v>
      </c>
      <c r="K10" s="116">
        <f t="shared" si="16"/>
        <v>7830</v>
      </c>
      <c r="L10" s="116">
        <f t="shared" si="16"/>
        <v>12528</v>
      </c>
      <c r="M10" s="230">
        <f>E21/2*2</f>
        <v>10441</v>
      </c>
      <c r="N10" s="230">
        <f t="shared" ref="N10:P10" si="17">F21/2*2</f>
        <v>3132</v>
      </c>
      <c r="O10" s="230">
        <f t="shared" si="17"/>
        <v>5220</v>
      </c>
      <c r="P10" s="230">
        <f t="shared" si="17"/>
        <v>8352</v>
      </c>
      <c r="Q10" s="232"/>
    </row>
    <row r="11" spans="1:17">
      <c r="A11" s="213" t="str">
        <f t="shared" si="1"/>
        <v>422</v>
      </c>
      <c r="B11" s="214">
        <f t="shared" si="2"/>
        <v>4</v>
      </c>
      <c r="C11" s="214">
        <v>2</v>
      </c>
      <c r="D11" s="214">
        <v>2</v>
      </c>
      <c r="E11" s="215">
        <f>$E$21*4</f>
        <v>41764</v>
      </c>
      <c r="F11" s="215">
        <f>$F$21*4</f>
        <v>12528</v>
      </c>
      <c r="G11" s="215">
        <f t="shared" si="14"/>
        <v>20880</v>
      </c>
      <c r="H11" s="215">
        <f t="shared" si="15"/>
        <v>33408</v>
      </c>
      <c r="I11" s="116">
        <f>$E$21/2*2</f>
        <v>10441</v>
      </c>
      <c r="J11" s="116">
        <f t="shared" ref="J11:L11" si="18">$E$21/2*2</f>
        <v>10441</v>
      </c>
      <c r="K11" s="116">
        <f t="shared" si="18"/>
        <v>10441</v>
      </c>
      <c r="L11" s="116">
        <f t="shared" si="18"/>
        <v>10441</v>
      </c>
      <c r="M11" s="230">
        <f>E21/2*3</f>
        <v>15661.5</v>
      </c>
      <c r="N11" s="230">
        <f t="shared" ref="N11:P11" si="19">F21/2*3</f>
        <v>4698</v>
      </c>
      <c r="O11" s="230">
        <f t="shared" si="19"/>
        <v>7830</v>
      </c>
      <c r="P11" s="230">
        <f t="shared" si="19"/>
        <v>12528</v>
      </c>
      <c r="Q11" s="232"/>
    </row>
    <row r="12" spans="1:17">
      <c r="A12" s="213" t="str">
        <f t="shared" si="1"/>
        <v>431</v>
      </c>
      <c r="B12" s="214">
        <f t="shared" si="2"/>
        <v>4</v>
      </c>
      <c r="C12" s="214">
        <v>3</v>
      </c>
      <c r="D12" s="214">
        <v>1</v>
      </c>
      <c r="E12" s="215">
        <f>$E$21*4</f>
        <v>41764</v>
      </c>
      <c r="F12" s="215">
        <f>$F$21*4</f>
        <v>12528</v>
      </c>
      <c r="G12" s="215">
        <f t="shared" si="14"/>
        <v>20880</v>
      </c>
      <c r="H12" s="215">
        <f t="shared" si="15"/>
        <v>33408</v>
      </c>
      <c r="I12" s="116">
        <f>ROUNDUP(E21/2*1,0)</f>
        <v>5221</v>
      </c>
      <c r="J12" s="116">
        <f t="shared" ref="J12:L12" si="20">ROUNDUP(F21/2*1,0)</f>
        <v>1566</v>
      </c>
      <c r="K12" s="116">
        <f t="shared" si="20"/>
        <v>2610</v>
      </c>
      <c r="L12" s="116">
        <f t="shared" si="20"/>
        <v>4176</v>
      </c>
      <c r="M12" s="230">
        <f>E21+E21</f>
        <v>20882</v>
      </c>
      <c r="N12" s="230">
        <f>F21+F21</f>
        <v>6264</v>
      </c>
      <c r="O12" s="230">
        <f t="shared" ref="O12:P12" si="21">G21+G21</f>
        <v>10440</v>
      </c>
      <c r="P12" s="230">
        <f t="shared" si="21"/>
        <v>16704</v>
      </c>
      <c r="Q12" s="232"/>
    </row>
    <row r="13" spans="1:17">
      <c r="A13" s="213" t="str">
        <f t="shared" si="1"/>
        <v>440</v>
      </c>
      <c r="B13" s="214">
        <f t="shared" si="2"/>
        <v>4</v>
      </c>
      <c r="C13" s="214">
        <v>4</v>
      </c>
      <c r="D13" s="214">
        <v>0</v>
      </c>
      <c r="E13" s="215">
        <f>$E$21*4</f>
        <v>41764</v>
      </c>
      <c r="F13" s="215">
        <f>$F$21*4</f>
        <v>12528</v>
      </c>
      <c r="G13" s="215">
        <f t="shared" si="14"/>
        <v>20880</v>
      </c>
      <c r="H13" s="215">
        <f t="shared" si="15"/>
        <v>33408</v>
      </c>
      <c r="I13" s="116">
        <v>0</v>
      </c>
      <c r="J13" s="116">
        <v>0</v>
      </c>
      <c r="K13" s="116">
        <v>0</v>
      </c>
      <c r="L13" s="116">
        <v>0</v>
      </c>
      <c r="M13" s="230">
        <f>E21/2+E21*2</f>
        <v>26102.5</v>
      </c>
      <c r="N13" s="230">
        <f t="shared" ref="N13:P13" si="22">F21/2+F21*2</f>
        <v>7830</v>
      </c>
      <c r="O13" s="230">
        <f t="shared" si="22"/>
        <v>13050</v>
      </c>
      <c r="P13" s="230">
        <f t="shared" si="22"/>
        <v>20880</v>
      </c>
      <c r="Q13" s="232"/>
    </row>
    <row r="14" spans="1:17">
      <c r="A14" s="216" t="str">
        <f t="shared" si="1"/>
        <v>505</v>
      </c>
      <c r="B14" s="217">
        <f t="shared" si="2"/>
        <v>5</v>
      </c>
      <c r="C14" s="217">
        <v>0</v>
      </c>
      <c r="D14" s="217">
        <v>5</v>
      </c>
      <c r="E14" s="218">
        <f t="shared" ref="E14:E19" si="23">$E$21*5</f>
        <v>52205</v>
      </c>
      <c r="F14" s="218">
        <f t="shared" ref="F14:F19" si="24">$F$21*5</f>
        <v>15660</v>
      </c>
      <c r="G14" s="218">
        <f>$G$21*5</f>
        <v>26100</v>
      </c>
      <c r="H14" s="218">
        <f>$H$21*5</f>
        <v>41760</v>
      </c>
      <c r="I14" s="116">
        <f>ROUNDUP(E21/2*5,0)</f>
        <v>26103</v>
      </c>
      <c r="J14" s="116">
        <f t="shared" ref="J14:L14" si="25">ROUNDUP(F21/2*5,0)</f>
        <v>7830</v>
      </c>
      <c r="K14" s="116">
        <f t="shared" si="25"/>
        <v>13050</v>
      </c>
      <c r="L14" s="116">
        <f t="shared" si="25"/>
        <v>20880</v>
      </c>
      <c r="M14" s="230">
        <f>E21/2*3</f>
        <v>15661.5</v>
      </c>
      <c r="N14" s="230">
        <f t="shared" ref="N14:P14" si="26">F21/2*3</f>
        <v>4698</v>
      </c>
      <c r="O14" s="230">
        <f t="shared" si="26"/>
        <v>7830</v>
      </c>
      <c r="P14" s="230">
        <f t="shared" si="26"/>
        <v>12528</v>
      </c>
      <c r="Q14" s="232"/>
    </row>
    <row r="15" spans="1:17">
      <c r="A15" s="216" t="str">
        <f t="shared" si="1"/>
        <v>514</v>
      </c>
      <c r="B15" s="217">
        <f t="shared" si="2"/>
        <v>5</v>
      </c>
      <c r="C15" s="217">
        <v>1</v>
      </c>
      <c r="D15" s="217">
        <v>4</v>
      </c>
      <c r="E15" s="218">
        <f t="shared" si="23"/>
        <v>52205</v>
      </c>
      <c r="F15" s="218">
        <f t="shared" si="24"/>
        <v>15660</v>
      </c>
      <c r="G15" s="218">
        <f t="shared" ref="G15:G19" si="27">$G$21*5</f>
        <v>26100</v>
      </c>
      <c r="H15" s="218">
        <f t="shared" ref="H15:H19" si="28">$H$21*5</f>
        <v>41760</v>
      </c>
      <c r="I15" s="116">
        <f>ROUNDUP(E21/2*4,0)</f>
        <v>20882</v>
      </c>
      <c r="J15" s="116">
        <f t="shared" ref="J15:L15" si="29">ROUNDUP(F21/2*4,0)</f>
        <v>6264</v>
      </c>
      <c r="K15" s="116">
        <f t="shared" si="29"/>
        <v>10440</v>
      </c>
      <c r="L15" s="116">
        <f t="shared" si="29"/>
        <v>16704</v>
      </c>
      <c r="M15" s="230">
        <f>E21/2*3</f>
        <v>15661.5</v>
      </c>
      <c r="N15" s="230">
        <f t="shared" ref="N15:P15" si="30">F21/2*3</f>
        <v>4698</v>
      </c>
      <c r="O15" s="230">
        <f t="shared" si="30"/>
        <v>7830</v>
      </c>
      <c r="P15" s="230">
        <f t="shared" si="30"/>
        <v>12528</v>
      </c>
      <c r="Q15" s="232"/>
    </row>
    <row r="16" spans="1:17">
      <c r="A16" s="216" t="str">
        <f t="shared" si="1"/>
        <v>523</v>
      </c>
      <c r="B16" s="217">
        <f t="shared" si="2"/>
        <v>5</v>
      </c>
      <c r="C16" s="217">
        <v>2</v>
      </c>
      <c r="D16" s="217">
        <v>3</v>
      </c>
      <c r="E16" s="218">
        <f t="shared" si="23"/>
        <v>52205</v>
      </c>
      <c r="F16" s="218">
        <f t="shared" si="24"/>
        <v>15660</v>
      </c>
      <c r="G16" s="218">
        <f t="shared" si="27"/>
        <v>26100</v>
      </c>
      <c r="H16" s="218">
        <f t="shared" si="28"/>
        <v>41760</v>
      </c>
      <c r="I16" s="116">
        <f>ROUNDUP(E21/2*3,0)</f>
        <v>15662</v>
      </c>
      <c r="J16" s="116">
        <f t="shared" ref="J16:L16" si="31">ROUNDUP(F21/2*3,0)</f>
        <v>4698</v>
      </c>
      <c r="K16" s="116">
        <f t="shared" si="31"/>
        <v>7830</v>
      </c>
      <c r="L16" s="116">
        <f t="shared" si="31"/>
        <v>12528</v>
      </c>
      <c r="M16" s="230">
        <f>E21/2*4</f>
        <v>20882</v>
      </c>
      <c r="N16" s="230">
        <f t="shared" ref="N16:P16" si="32">F21/2*4</f>
        <v>6264</v>
      </c>
      <c r="O16" s="230">
        <f t="shared" si="32"/>
        <v>10440</v>
      </c>
      <c r="P16" s="230">
        <f t="shared" si="32"/>
        <v>16704</v>
      </c>
      <c r="Q16" s="232"/>
    </row>
    <row r="17" spans="1:17">
      <c r="A17" s="216" t="str">
        <f t="shared" si="1"/>
        <v>532</v>
      </c>
      <c r="B17" s="217">
        <f t="shared" si="2"/>
        <v>5</v>
      </c>
      <c r="C17" s="217">
        <v>3</v>
      </c>
      <c r="D17" s="217">
        <v>2</v>
      </c>
      <c r="E17" s="218">
        <f t="shared" si="23"/>
        <v>52205</v>
      </c>
      <c r="F17" s="218">
        <f t="shared" si="24"/>
        <v>15660</v>
      </c>
      <c r="G17" s="218">
        <f t="shared" si="27"/>
        <v>26100</v>
      </c>
      <c r="H17" s="218">
        <f t="shared" si="28"/>
        <v>41760</v>
      </c>
      <c r="I17" s="116">
        <f>ROUNDUP(E21/2*2,0)</f>
        <v>10441</v>
      </c>
      <c r="J17" s="116">
        <f t="shared" ref="J17:K17" si="33">ROUNDUP(F21/2*2,0)</f>
        <v>3132</v>
      </c>
      <c r="K17" s="116">
        <f t="shared" si="33"/>
        <v>5220</v>
      </c>
      <c r="L17" s="116">
        <f>ROUNDUP(H21/2*2,0)</f>
        <v>8352</v>
      </c>
      <c r="M17" s="230">
        <f>E21/2*3+E21</f>
        <v>26102.5</v>
      </c>
      <c r="N17" s="230">
        <f t="shared" ref="N17:P17" si="34">F21/2*3+F21</f>
        <v>7830</v>
      </c>
      <c r="O17" s="230">
        <f t="shared" si="34"/>
        <v>13050</v>
      </c>
      <c r="P17" s="230">
        <f t="shared" si="34"/>
        <v>20880</v>
      </c>
      <c r="Q17" s="232"/>
    </row>
    <row r="18" spans="1:17">
      <c r="A18" s="216" t="str">
        <f t="shared" si="1"/>
        <v>541</v>
      </c>
      <c r="B18" s="217">
        <f t="shared" si="2"/>
        <v>5</v>
      </c>
      <c r="C18" s="217">
        <v>4</v>
      </c>
      <c r="D18" s="217">
        <v>1</v>
      </c>
      <c r="E18" s="218">
        <f t="shared" si="23"/>
        <v>52205</v>
      </c>
      <c r="F18" s="218">
        <f t="shared" si="24"/>
        <v>15660</v>
      </c>
      <c r="G18" s="218">
        <f t="shared" si="27"/>
        <v>26100</v>
      </c>
      <c r="H18" s="218">
        <f t="shared" si="28"/>
        <v>41760</v>
      </c>
      <c r="I18" s="116">
        <f>ROUNDUP(E21/2*1,0)</f>
        <v>5221</v>
      </c>
      <c r="J18" s="116">
        <f t="shared" ref="J18:L18" si="35">ROUNDUP(F21/2*1,0)</f>
        <v>1566</v>
      </c>
      <c r="K18" s="116">
        <f t="shared" si="35"/>
        <v>2610</v>
      </c>
      <c r="L18" s="116">
        <f t="shared" si="35"/>
        <v>4176</v>
      </c>
      <c r="M18" s="230">
        <f>E21/2*2+E21*2</f>
        <v>31323</v>
      </c>
      <c r="N18" s="230">
        <f t="shared" ref="N18:P18" si="36">F21/2*2+F21*2</f>
        <v>9396</v>
      </c>
      <c r="O18" s="230">
        <f t="shared" si="36"/>
        <v>15660</v>
      </c>
      <c r="P18" s="230">
        <f t="shared" si="36"/>
        <v>25056</v>
      </c>
      <c r="Q18" s="232"/>
    </row>
    <row r="19" spans="1:17">
      <c r="A19" s="216" t="str">
        <f t="shared" si="1"/>
        <v>550</v>
      </c>
      <c r="B19" s="217">
        <f t="shared" si="2"/>
        <v>5</v>
      </c>
      <c r="C19" s="217">
        <v>5</v>
      </c>
      <c r="D19" s="217">
        <v>0</v>
      </c>
      <c r="E19" s="218">
        <f t="shared" si="23"/>
        <v>52205</v>
      </c>
      <c r="F19" s="218">
        <f t="shared" si="24"/>
        <v>15660</v>
      </c>
      <c r="G19" s="218">
        <f t="shared" si="27"/>
        <v>26100</v>
      </c>
      <c r="H19" s="218">
        <f t="shared" si="28"/>
        <v>41760</v>
      </c>
      <c r="I19" s="116">
        <v>0</v>
      </c>
      <c r="J19" s="116">
        <v>0</v>
      </c>
      <c r="K19" s="116">
        <v>0</v>
      </c>
      <c r="L19" s="116">
        <v>0</v>
      </c>
      <c r="M19" s="230">
        <f>E21/2+E21*3</f>
        <v>36543.5</v>
      </c>
      <c r="N19" s="230">
        <f t="shared" ref="N19:P19" si="37">F21/2+F21*3</f>
        <v>10962</v>
      </c>
      <c r="O19" s="230">
        <f t="shared" si="37"/>
        <v>18270</v>
      </c>
      <c r="P19" s="230">
        <f t="shared" si="37"/>
        <v>29232</v>
      </c>
      <c r="Q19" s="232"/>
    </row>
    <row r="20" spans="1:17">
      <c r="E20" s="117" t="s">
        <v>106</v>
      </c>
      <c r="F20" s="117" t="s">
        <v>106</v>
      </c>
      <c r="G20" s="117" t="s">
        <v>106</v>
      </c>
      <c r="H20" s="117" t="s">
        <v>106</v>
      </c>
      <c r="I20" s="117"/>
      <c r="J20" s="117"/>
      <c r="K20" s="117"/>
      <c r="L20" s="117"/>
      <c r="M20" s="117"/>
      <c r="N20" s="117"/>
      <c r="O20" s="117"/>
      <c r="P20" s="117"/>
    </row>
    <row r="21" spans="1:17">
      <c r="D21" s="88" t="s">
        <v>141</v>
      </c>
      <c r="E21" s="118">
        <f>算定基礎!D14</f>
        <v>10441</v>
      </c>
      <c r="F21" s="119">
        <f>ROUNDDOWN(E21*0.3,0)</f>
        <v>3132</v>
      </c>
      <c r="G21" s="119">
        <f>ROUNDDOWN(E21*0.5,0)</f>
        <v>5220</v>
      </c>
      <c r="H21" s="119">
        <f>ROUNDDOWN(E21*0.8,0)</f>
        <v>8352</v>
      </c>
      <c r="I21" s="117"/>
      <c r="J21" s="117"/>
      <c r="K21" s="117"/>
      <c r="L21" s="117"/>
      <c r="M21" s="117"/>
      <c r="N21" s="117"/>
      <c r="O21" s="117"/>
      <c r="P21" s="117"/>
    </row>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97291-5DCE-4DAA-AB52-7791DC1DDE76}">
  <dimension ref="A1"/>
  <sheetViews>
    <sheetView topLeftCell="A13" workbookViewId="0">
      <selection activeCell="S23" sqref="S23"/>
    </sheetView>
  </sheetViews>
  <sheetFormatPr defaultRowHeight="13.5"/>
  <sheetData/>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試算シート</vt:lpstr>
      <vt:lpstr>〇計算の詳細</vt:lpstr>
      <vt:lpstr>算定基礎</vt:lpstr>
      <vt:lpstr>所得計算</vt:lpstr>
      <vt:lpstr>多子減免額（基礎分）</vt:lpstr>
      <vt:lpstr>多子減免額（支援分）</vt:lpstr>
      <vt:lpstr>参考</vt:lpstr>
      <vt:lpstr>試算シート!Print_Area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矢持　彩香</cp:lastModifiedBy>
  <cp:lastPrinted>2026-05-13T04:10:05Z</cp:lastPrinted>
  <dcterms:created xsi:type="dcterms:W3CDTF">2012-09-26T02:57:09Z</dcterms:created>
  <dcterms:modified xsi:type="dcterms:W3CDTF">2026-05-19T00:55:23Z</dcterms:modified>
</cp:coreProperties>
</file>