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3215" windowHeight="12630" tabRatio="862" activeTab="8"/>
  </bookViews>
  <sheets>
    <sheet name="BU-2 ブランコ" sheetId="1" r:id="rId1"/>
    <sheet name="BU-4 ブランコ" sheetId="2" r:id="rId2"/>
    <sheet name="BM ブランコマット" sheetId="3" r:id="rId3"/>
    <sheet name="SU 滑台" sheetId="4" r:id="rId4"/>
    <sheet name="FSU　FRP滑台" sheetId="5" r:id="rId5"/>
    <sheet name="SM 滑り台マット" sheetId="6" r:id="rId6"/>
    <sheet name="TB-2 鉄棒" sheetId="7" r:id="rId7"/>
    <sheet name="TB-3 鉄棒 " sheetId="8" r:id="rId8"/>
    <sheet name="SN 砂場縁石" sheetId="9" r:id="rId9"/>
    <sheet name="MP　砂場門扉" sheetId="10" r:id="rId10"/>
  </sheets>
  <externalReferences>
    <externalReference r:id="rId13"/>
    <externalReference r:id="rId14"/>
  </externalReferences>
  <definedNames>
    <definedName name="_xlnm.Print_Area" localSheetId="2">'BM ブランコマット'!$A$1:$F$29</definedName>
    <definedName name="_xlnm.Print_Area" localSheetId="0">'BU-2 ブランコ'!$A$1:$F$29</definedName>
    <definedName name="_xlnm.Print_Area" localSheetId="1">'BU-4 ブランコ'!$A$1:$F$29</definedName>
    <definedName name="_xlnm.Print_Area" localSheetId="4">'FSU　FRP滑台'!$A$1:$F$30</definedName>
    <definedName name="_xlnm.Print_Area" localSheetId="9">'MP　砂場門扉'!$A$1:$F$30</definedName>
    <definedName name="_xlnm.Print_Area" localSheetId="5">'SM 滑り台マット'!$A$1:$F$29</definedName>
    <definedName name="_xlnm.Print_Area" localSheetId="8">'SN 砂場縁石'!$A$1:$F$29</definedName>
    <definedName name="_xlnm.Print_Area" localSheetId="3">'SU 滑台'!$A$1:$F$29</definedName>
    <definedName name="_xlnm.Print_Area" localSheetId="6">'TB-2 鉄棒'!$A$1:$F$29</definedName>
    <definedName name="_xlnm.Print_Area" localSheetId="7">'TB-3 鉄棒 '!$A$1:$F$29</definedName>
    <definedName name="あ">#REF!</definedName>
    <definedName name="す">#REF!</definedName>
    <definedName name="材料表" localSheetId="4">'[2]材料表'!$A$40:$E$239</definedName>
    <definedName name="材料表" localSheetId="9">'[2]材料表'!$A$40:$E$239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<sst xmlns="http://schemas.openxmlformats.org/spreadsheetml/2006/main" count="457" uniqueCount="161">
  <si>
    <t>15.6-3.92</t>
  </si>
  <si>
    <t>(0.5×0.5×0.1+0.4×0.4×0.5+((0.26+0.16)×1÷2)×((0.26+0.16)×1÷2)×3.14×1÷4×0.05)×3×10</t>
  </si>
  <si>
    <t>(0.5×0.5×3+0.45×0.45)×10</t>
  </si>
  <si>
    <t>(0.4×0.5×4×3+0.35×0.4×4)×10</t>
  </si>
  <si>
    <t>TB-2 鉄棒</t>
  </si>
  <si>
    <t>((0.4×0.4×0.5-0.0605×0.0605×3.14÷4×0.5)×2+(0.35×0.35×0.4-0.0605×0.0605×3.14÷4×0.4))×10</t>
  </si>
  <si>
    <t>((0.4×0.4×0.5-0.0605×0.0605×3.14÷4×0.5)×3+(0.35×0.35×0.4-0.0605×0.0605×3.14÷4×0.4))×10</t>
  </si>
  <si>
    <t>(0.45×0.45×0.1+0.35×0.35×0.4+((0.26+0.16)×1÷2)×((0.26+0.16)×1÷2)×3.14×1÷4×0.05)×10</t>
  </si>
  <si>
    <t>Nｏ. 　　　　　　</t>
  </si>
  <si>
    <t>名　　称</t>
  </si>
  <si>
    <t>規　　格</t>
  </si>
  <si>
    <t>単位</t>
  </si>
  <si>
    <t>数　　量</t>
  </si>
  <si>
    <t>算　           　式</t>
  </si>
  <si>
    <t xml:space="preserve">  材 料 計 算 書  </t>
  </si>
  <si>
    <t xml:space="preserve">基当り </t>
  </si>
  <si>
    <t>(0.5×0.5×0.1+0.4×0.4×0.5+((0.26+0.16)×1÷2)×((0.26+0.16)×1÷2)×3.14×1÷4×0.05)×2×10</t>
  </si>
  <si>
    <t>(0.45×0.45×0.1+0.35×0.35×0.4+((0.26+0.16)×1÷2)×((0.26+0.16)×1÷2)×3.14×1÷4×0.05)×10</t>
  </si>
  <si>
    <t>(0.4×0.8×0.1+0.3×0.7×0.3+((0.25+0.15)×1÷4)×((0.25+0.15)×1÷4)×3.14×0.05)×10</t>
  </si>
  <si>
    <t>(0.7×0.7×0.1+0.6×0.6×0.75+((0.302+0.202)×1÷4)×((0.302+0.202)×1÷4)×3.14×0.05)×10</t>
  </si>
  <si>
    <t>(0.5×0.8×0.1+0.4×0.7×0.3+(0.3×0.7+0.57×0.17)×1÷2×0.05)×10</t>
  </si>
  <si>
    <t>0.966+3.215+1.317</t>
  </si>
  <si>
    <t>(0.4×0.8+0.7×0.7+0.5×0.8)×10</t>
  </si>
  <si>
    <t>((0.3+0.7)×0.3×2+0.6×0.7×4+(0.4+0.7)×0.3×2)×10</t>
  </si>
  <si>
    <t>(0.3×0.7×0.3+0.6×0.6×0.7+0.4×0.7×0.3)×10</t>
  </si>
  <si>
    <t>((0.4+0.4)×(0.4+0.4)×0.65×2+(0.35+0.4)×(0.35+0.4)×0.55)×10</t>
  </si>
  <si>
    <t>11.4-2.84</t>
  </si>
  <si>
    <t>2.134+0.709</t>
  </si>
  <si>
    <t>(0.5×0.5×2+0.45×0.45)×10</t>
  </si>
  <si>
    <t>(0.4×0.5×4×2+0.35×0.4×4)×10</t>
  </si>
  <si>
    <t>((0.4+0.4)×(0.4+0.4)×0.65×3+(0.35+0.4)×(0.35+0.4)×0.55)×10</t>
  </si>
  <si>
    <t>3.201+0.709</t>
  </si>
  <si>
    <t>m3</t>
  </si>
  <si>
    <t>BM ブランコマット</t>
  </si>
  <si>
    <t>0.5×4×10</t>
  </si>
  <si>
    <t>0.5×6×10</t>
  </si>
  <si>
    <t>0.3×16×10</t>
  </si>
  <si>
    <t>(0.6+1.0)×(0.6+1.0)×0.9×10</t>
  </si>
  <si>
    <t>(0.3+0.4)×(0.7+0.4)×0.5×10</t>
  </si>
  <si>
    <t>(0.4+0.4)×(0.7+0.4)×0.5×10</t>
  </si>
  <si>
    <t>23.040+3.850+4.400</t>
  </si>
  <si>
    <t>31.3-5.5</t>
  </si>
  <si>
    <t xml:space="preserve">ｍ当り </t>
  </si>
  <si>
    <t>(0.16＋0.4)×0.5×100</t>
  </si>
  <si>
    <t>(0.25×0.1+0.16×0.4＋0.2×0.4)×100</t>
  </si>
  <si>
    <t>28.0-16.9</t>
  </si>
  <si>
    <t>0.25×100</t>
  </si>
  <si>
    <t>0.53×2×100</t>
  </si>
  <si>
    <t>0.16×0.53×100</t>
  </si>
  <si>
    <t>(0.23＋0.16+0.38)×100</t>
  </si>
  <si>
    <t>(2.0+0.4)×(2.0+0.4)×0.17×10</t>
  </si>
  <si>
    <t>(2.1×2.1×0.1＋2×2×0.07)×10</t>
  </si>
  <si>
    <t>2.1×2.1×10</t>
  </si>
  <si>
    <t>0.05×2×4×10</t>
  </si>
  <si>
    <t>2×2×0.05×10</t>
  </si>
  <si>
    <t>4×10</t>
  </si>
  <si>
    <t>2×10</t>
  </si>
  <si>
    <t>9.8-7.2</t>
  </si>
  <si>
    <t xml:space="preserve">ヶ所当り </t>
  </si>
  <si>
    <t>(0.5×0.5×4+0.35×0.35×16)×10</t>
  </si>
  <si>
    <t>(0.2×0.2×3.14×0.5×4+0.125×0.125×3.14×0.3×16)×10</t>
  </si>
  <si>
    <t>(0.5×0.5×6+0.35×0.35×20)×10</t>
  </si>
  <si>
    <t>0.3×20×10</t>
  </si>
  <si>
    <t>(0.2×0.2×3.14×0.5×6+0.125×0.125×3.14×0.3×20)×10</t>
  </si>
  <si>
    <t>BU-2 ブランコ</t>
  </si>
  <si>
    <t>(1.0+0.4)×(1.0+0.4)×0.17×10</t>
  </si>
  <si>
    <t>(1.1×1.1×0.1＋1×1×0.07)×10</t>
  </si>
  <si>
    <t>3.3-1.9</t>
  </si>
  <si>
    <t>1.1×1.1×10</t>
  </si>
  <si>
    <t>0.05×1×4×10</t>
  </si>
  <si>
    <t>1×1×0.05×10</t>
  </si>
  <si>
    <t>1×1×10</t>
  </si>
  <si>
    <t>■1000×1000</t>
  </si>
  <si>
    <t>■1000×1500</t>
  </si>
  <si>
    <t>(1.0+0.4)×(1.5+0.4)×0.17×10</t>
  </si>
  <si>
    <t>(1.1×1.6×0.1＋1×1×0.07)×10</t>
  </si>
  <si>
    <t>4.5-2.5</t>
  </si>
  <si>
    <t>1.1×1.6×10</t>
  </si>
  <si>
    <t>0.05×（1+1.5）×2×10</t>
  </si>
  <si>
    <t>1×1.5×0.05×10</t>
  </si>
  <si>
    <t>1×1.5×10</t>
  </si>
  <si>
    <t>SU 滑台</t>
  </si>
  <si>
    <t>((0.4+0.4)×(0.4+0.4)×0.7×4+(0.25+0.4)×(0.25+0.4)×0.5×16)×10</t>
  </si>
  <si>
    <t>((0.4+0.4)×(0.4+0.4)×0.7×6+(0.25+0.4)×(0.25+0.4)×0.5×20)×10</t>
  </si>
  <si>
    <t>(0.5×0.5×0.1+0.2×0.2×3.14×0.5)×4×10+(0.35×0.35×0.1+0.125×0.125×3.14×0.3)×16×10</t>
  </si>
  <si>
    <t>51.7-7.8</t>
  </si>
  <si>
    <t>(0.5×0.5×0.1+0.2×0.2×3.14×0.5)×6×10+(0.35×0.35×0.1+0.125×0.125×3.14×0.3)×20×10</t>
  </si>
  <si>
    <t>69.1-10.7</t>
  </si>
  <si>
    <t>床堀</t>
  </si>
  <si>
    <t>h=-20</t>
  </si>
  <si>
    <t>残土処理</t>
  </si>
  <si>
    <t>型枠</t>
  </si>
  <si>
    <t>ｺﾝｸﾘｰﾄ</t>
  </si>
  <si>
    <t>18-8-25</t>
  </si>
  <si>
    <t>埋戻</t>
  </si>
  <si>
    <t xml:space="preserve"> </t>
  </si>
  <si>
    <t>基面整正</t>
  </si>
  <si>
    <t>再生ｸﾗｯｼｬｰﾗﾝ基礎</t>
  </si>
  <si>
    <t>(RC-40) t=100</t>
  </si>
  <si>
    <t>表面仕上げ</t>
  </si>
  <si>
    <t>三連鉄棒</t>
  </si>
  <si>
    <t>本体</t>
  </si>
  <si>
    <t>同上据付</t>
  </si>
  <si>
    <t>ﾌﾟﾚｰﾄ工</t>
  </si>
  <si>
    <t>二連鉄棒</t>
  </si>
  <si>
    <t>滑り台マット</t>
  </si>
  <si>
    <t>厚40内外　接着剤共</t>
  </si>
  <si>
    <t>滑台</t>
  </si>
  <si>
    <t>ゴムマット</t>
  </si>
  <si>
    <t>ブランコマット</t>
  </si>
  <si>
    <t>or</t>
  </si>
  <si>
    <t>円形型枠</t>
  </si>
  <si>
    <t>φ400　紙製</t>
  </si>
  <si>
    <t>φ250　紙製</t>
  </si>
  <si>
    <t>四連ﾌﾞﾗﾝｺ</t>
  </si>
  <si>
    <t>安全柵</t>
  </si>
  <si>
    <t>二連ﾌﾞﾗﾝｺ</t>
  </si>
  <si>
    <t>m2</t>
  </si>
  <si>
    <t>m</t>
  </si>
  <si>
    <t>基</t>
  </si>
  <si>
    <t>式</t>
  </si>
  <si>
    <t>枚</t>
  </si>
  <si>
    <t>BU-4 ブランコ</t>
  </si>
  <si>
    <t xml:space="preserve">基当り </t>
  </si>
  <si>
    <t>(0.4+0.4)×（0.7+0.4）×0.5×10</t>
  </si>
  <si>
    <t>(0.6+0.4）×（0.6+0.4）×0.9×10</t>
  </si>
  <si>
    <t>(0.3+0.4）×（0.7+0.4）×0.5×10</t>
  </si>
  <si>
    <t>4.4+9+3.85</t>
  </si>
  <si>
    <t>17.3-5.2</t>
  </si>
  <si>
    <t>(0.5×0.8×0.1+0.4×0.7×0.3+0.009×0.009×3.14×0.1）×10</t>
  </si>
  <si>
    <t>(0.7×0.7×0.1+0.6×0.6×0.7+0.00508×0.0508×3.14×0.1）×10</t>
  </si>
  <si>
    <t>(0.4×0.8×0.1+0.3×0.7×0.3+0.02135×0.02135×3.14×0.1）×10</t>
  </si>
  <si>
    <t>1.24+3.01+0.95</t>
  </si>
  <si>
    <t>(0.5×0.8+0.7×0.7+0.4×0.8)×10</t>
  </si>
  <si>
    <t>((0.4+0.7)×0.3×2+0.6×0.7×4+(0.3+0.7)×0.3×2)×10</t>
  </si>
  <si>
    <t>(0.4×0.7×0.3+0.6×0.6×0.7+0.3×0.7×0.3)×10</t>
  </si>
  <si>
    <t>床掘</t>
  </si>
  <si>
    <t>(0.3+0.4)×(0.3+0.4)×0.63×2×10</t>
  </si>
  <si>
    <t>ｍ3</t>
  </si>
  <si>
    <t>埋戻</t>
  </si>
  <si>
    <t>6.2-0.8</t>
  </si>
  <si>
    <t>残土処分</t>
  </si>
  <si>
    <t>(0.4×0.4×0.1+0.3×0.3×0.5×0.53)×2×10</t>
  </si>
  <si>
    <t>0.4×0.4×2×10</t>
  </si>
  <si>
    <t>0.03×0.3×4×2×10</t>
  </si>
  <si>
    <t>均しモルタル</t>
  </si>
  <si>
    <t>1：3（空練）</t>
  </si>
  <si>
    <t>0.3×0.3×0.03×2×10</t>
  </si>
  <si>
    <t>充填モルタル</t>
  </si>
  <si>
    <t>1:3</t>
  </si>
  <si>
    <t>(0.22×0.22×0.5-(0.06×0.06×0.25+0.0506^2×3.14×0.25×0.2))×2×10</t>
  </si>
  <si>
    <t>基礎ブロック</t>
  </si>
  <si>
    <t>300×300×500</t>
  </si>
  <si>
    <t>2×10</t>
  </si>
  <si>
    <t>基</t>
  </si>
  <si>
    <t>門扉</t>
  </si>
  <si>
    <t>FSU　FRP滑台</t>
  </si>
  <si>
    <t>SM 滑り台マット</t>
  </si>
  <si>
    <t>MP　砂場門扉</t>
  </si>
  <si>
    <t xml:space="preserve">TB-3 鉄棒 </t>
  </si>
  <si>
    <t>SN 砂場縁石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</si>
</sst>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  <numFmt numFmtId="205" formatCode="0.00_);\(0.00\)"/>
    <numFmt numFmtId="206" formatCode="0.0_);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86" fontId="0" fillId="0" borderId="0" xfId="48" applyNumberFormat="1" applyFill="1" applyAlignment="1">
      <alignment/>
    </xf>
    <xf numFmtId="179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38" fontId="4" fillId="0" borderId="29" xfId="48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179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180" fontId="4" fillId="0" borderId="32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left" wrapText="1"/>
    </xf>
    <xf numFmtId="181" fontId="4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96" fontId="4" fillId="0" borderId="11" xfId="48" applyNumberFormat="1" applyFont="1" applyFill="1" applyBorder="1" applyAlignment="1">
      <alignment/>
    </xf>
    <xf numFmtId="195" fontId="4" fillId="0" borderId="27" xfId="48" applyNumberFormat="1" applyFont="1" applyFill="1" applyBorder="1" applyAlignment="1">
      <alignment/>
    </xf>
    <xf numFmtId="195" fontId="4" fillId="0" borderId="27" xfId="0" applyNumberFormat="1" applyFont="1" applyFill="1" applyBorder="1" applyAlignment="1">
      <alignment/>
    </xf>
    <xf numFmtId="196" fontId="4" fillId="0" borderId="27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 horizontal="right"/>
    </xf>
    <xf numFmtId="40" fontId="4" fillId="0" borderId="11" xfId="48" applyNumberFormat="1" applyFont="1" applyFill="1" applyBorder="1" applyAlignment="1">
      <alignment/>
    </xf>
    <xf numFmtId="187" fontId="4" fillId="0" borderId="11" xfId="0" applyNumberFormat="1" applyFont="1" applyFill="1" applyBorder="1" applyAlignment="1">
      <alignment horizontal="left"/>
    </xf>
    <xf numFmtId="181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>
      <alignment horizontal="right"/>
    </xf>
    <xf numFmtId="186" fontId="0" fillId="0" borderId="0" xfId="48" applyNumberFormat="1" applyFont="1" applyFill="1" applyAlignment="1">
      <alignment/>
    </xf>
    <xf numFmtId="189" fontId="4" fillId="0" borderId="11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left"/>
    </xf>
    <xf numFmtId="199" fontId="4" fillId="0" borderId="11" xfId="0" applyNumberFormat="1" applyFont="1" applyFill="1" applyBorder="1" applyAlignment="1">
      <alignment horizontal="left"/>
    </xf>
    <xf numFmtId="188" fontId="4" fillId="0" borderId="11" xfId="0" applyNumberFormat="1" applyFont="1" applyFill="1" applyBorder="1" applyAlignment="1">
      <alignment horizontal="left"/>
    </xf>
    <xf numFmtId="189" fontId="4" fillId="0" borderId="27" xfId="0" applyNumberFormat="1" applyFont="1" applyFill="1" applyBorder="1" applyAlignment="1">
      <alignment/>
    </xf>
    <xf numFmtId="40" fontId="4" fillId="0" borderId="2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186" fontId="0" fillId="0" borderId="0" xfId="50" applyNumberFormat="1" applyFont="1" applyAlignment="1">
      <alignment/>
    </xf>
    <xf numFmtId="205" fontId="4" fillId="0" borderId="11" xfId="0" applyNumberFormat="1" applyFont="1" applyFill="1" applyBorder="1" applyAlignment="1">
      <alignment horizontal="left"/>
    </xf>
    <xf numFmtId="38" fontId="4" fillId="0" borderId="29" xfId="50" applyFont="1" applyFill="1" applyBorder="1" applyAlignment="1">
      <alignment horizontal="left" wrapText="1"/>
    </xf>
    <xf numFmtId="38" fontId="4" fillId="0" borderId="10" xfId="50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30" fillId="0" borderId="11" xfId="64" applyNumberFormat="1" applyFont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181" fontId="4" fillId="0" borderId="11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180" fontId="4" fillId="0" borderId="32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206" fontId="4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center" wrapText="1"/>
    </xf>
    <xf numFmtId="0" fontId="4" fillId="0" borderId="10" xfId="0" applyNumberFormat="1" applyFont="1" applyFill="1" applyBorder="1" applyAlignment="1">
      <alignment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材料計算書原稿（1段）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2;&#33538;&#20013;&#22830;&#20844;&#22290;_&#25968;&#37327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総括表 "/>
      <sheetName val="土量（造成）０１"/>
      <sheetName val="施設土工"/>
      <sheetName val="撤去集計"/>
      <sheetName val="数量計算書"/>
      <sheetName val="Sheet11 (2)"/>
      <sheetName val="概算工事費"/>
      <sheetName val="アスファルト舗装"/>
      <sheetName val="土舗装"/>
      <sheetName val="高尺フェンス　NF-500　移設"/>
      <sheetName val="空洞ブロック-1"/>
      <sheetName val="空洞ブロック-2"/>
      <sheetName val="空洞ブロック-2 (2)"/>
      <sheetName val="フェンス　NFK120"/>
      <sheetName val="U型側溝　UA-24"/>
      <sheetName val="集水桝　RM30"/>
      <sheetName val="アスファルト撤去"/>
      <sheetName val="U側溝撤去"/>
      <sheetName val="高尺フェンス撤去"/>
      <sheetName val="空洞ブロック撤去"/>
      <sheetName val="フェンス撤去"/>
      <sheetName val="材料表"/>
    </sheetNames>
    <sheetDataSet>
      <sheetData sheetId="22">
        <row r="40">
          <cell r="A40">
            <v>1</v>
          </cell>
          <cell r="B40" t="str">
            <v>床掘</v>
          </cell>
          <cell r="C40" t="str">
            <v> </v>
          </cell>
          <cell r="D40" t="str">
            <v>ｍ3</v>
          </cell>
          <cell r="E40">
            <v>700</v>
          </cell>
        </row>
        <row r="41">
          <cell r="A41">
            <v>2</v>
          </cell>
          <cell r="B41" t="str">
            <v>埋戻</v>
          </cell>
          <cell r="C41" t="str">
            <v> </v>
          </cell>
          <cell r="D41" t="str">
            <v>ｍ3</v>
          </cell>
          <cell r="E41">
            <v>2400</v>
          </cell>
        </row>
        <row r="42">
          <cell r="A42">
            <v>3</v>
          </cell>
          <cell r="B42" t="str">
            <v>残土処分</v>
          </cell>
          <cell r="C42" t="str">
            <v> </v>
          </cell>
          <cell r="D42" t="str">
            <v>ｍ3</v>
          </cell>
          <cell r="E42">
            <v>200</v>
          </cell>
        </row>
        <row r="43">
          <cell r="A43">
            <v>4</v>
          </cell>
          <cell r="B43" t="str">
            <v>すきとり</v>
          </cell>
          <cell r="C43" t="str">
            <v> </v>
          </cell>
          <cell r="D43" t="str">
            <v>ｍ3</v>
          </cell>
          <cell r="E43">
            <v>250</v>
          </cell>
        </row>
        <row r="44">
          <cell r="A44">
            <v>5</v>
          </cell>
          <cell r="B44" t="str">
            <v>基面整正</v>
          </cell>
          <cell r="C44" t="str">
            <v> </v>
          </cell>
          <cell r="D44" t="str">
            <v>ｍ2</v>
          </cell>
          <cell r="E44">
            <v>300</v>
          </cell>
        </row>
        <row r="45">
          <cell r="A45">
            <v>6</v>
          </cell>
          <cell r="B45" t="str">
            <v>土工なし</v>
          </cell>
          <cell r="C45" t="str">
            <v>　</v>
          </cell>
          <cell r="D45" t="str">
            <v>　</v>
          </cell>
          <cell r="E45">
            <v>0</v>
          </cell>
        </row>
        <row r="46">
          <cell r="A46">
            <v>7</v>
          </cell>
          <cell r="B46" t="str">
            <v>路床工</v>
          </cell>
          <cell r="C46" t="str">
            <v> </v>
          </cell>
          <cell r="D46" t="str">
            <v>ｍ2</v>
          </cell>
          <cell r="E46">
            <v>150</v>
          </cell>
        </row>
        <row r="47">
          <cell r="A47">
            <v>8</v>
          </cell>
          <cell r="B47" t="str">
            <v>再生ｸﾗｯｼｬｰﾗﾝ　</v>
          </cell>
          <cell r="C47" t="str">
            <v>（ＲＣ-40）路盤ｔ100</v>
          </cell>
          <cell r="D47" t="str">
            <v>ｍ2</v>
          </cell>
          <cell r="E47">
            <v>700</v>
          </cell>
        </row>
        <row r="48">
          <cell r="A48">
            <v>9</v>
          </cell>
          <cell r="B48" t="str">
            <v>再生ｸﾗｯｼｬｰﾗﾝ　</v>
          </cell>
          <cell r="C48" t="str">
            <v>（ＲＣ-40）路盤ｔ150</v>
          </cell>
          <cell r="D48" t="str">
            <v>ｍ2</v>
          </cell>
          <cell r="E48">
            <v>800</v>
          </cell>
        </row>
        <row r="49">
          <cell r="A49">
            <v>10</v>
          </cell>
          <cell r="B49" t="str">
            <v>再生ｸﾗｯｼｬｰﾗﾝ　</v>
          </cell>
          <cell r="C49" t="str">
            <v>（ＲＣ-30）路盤ｔ100</v>
          </cell>
          <cell r="D49" t="str">
            <v>ｍ2</v>
          </cell>
        </row>
        <row r="50">
          <cell r="A50">
            <v>11</v>
          </cell>
          <cell r="B50" t="str">
            <v>ｸﾗｯｼｬｰﾗﾝ　</v>
          </cell>
          <cell r="C50" t="str">
            <v>（Ｃ-40）路盤ｔ150</v>
          </cell>
          <cell r="D50" t="str">
            <v>ｍ2</v>
          </cell>
        </row>
        <row r="51">
          <cell r="A51">
            <v>12</v>
          </cell>
          <cell r="B51" t="str">
            <v>下層路盤工</v>
          </cell>
          <cell r="C51" t="str">
            <v>再生ｸﾗｯｼｬｰﾗﾝ　　　　　（ＲＣ-30）ｔ150</v>
          </cell>
          <cell r="D51" t="str">
            <v>ｍ2</v>
          </cell>
          <cell r="E51">
            <v>800</v>
          </cell>
        </row>
        <row r="52">
          <cell r="A52">
            <v>13</v>
          </cell>
          <cell r="B52" t="str">
            <v>下層路盤工</v>
          </cell>
          <cell r="C52" t="str">
            <v>再生ｸﾗｯｼｬｰﾗﾝ　　　　　（ＲＣ-30）ｔ200</v>
          </cell>
          <cell r="D52" t="str">
            <v>ｍ2</v>
          </cell>
          <cell r="E52">
            <v>900</v>
          </cell>
        </row>
        <row r="53">
          <cell r="A53">
            <v>14</v>
          </cell>
          <cell r="B53" t="str">
            <v>上層路盤工</v>
          </cell>
          <cell r="C53" t="str">
            <v>粒度調整砕石（Ｍ-30）ｔ100</v>
          </cell>
          <cell r="D53" t="str">
            <v>ｍ2</v>
          </cell>
        </row>
        <row r="54">
          <cell r="A54">
            <v>15</v>
          </cell>
          <cell r="B54" t="str">
            <v>上層路盤工</v>
          </cell>
          <cell r="C54" t="str">
            <v>粒度調整砕石（Ｍ-30）ｔ150</v>
          </cell>
          <cell r="D54" t="str">
            <v>ｍ2</v>
          </cell>
        </row>
        <row r="55">
          <cell r="A55">
            <v>16</v>
          </cell>
          <cell r="B55" t="str">
            <v>上層路盤工</v>
          </cell>
          <cell r="C55" t="str">
            <v>粒度調整砕石（HMS-25）ｔ120</v>
          </cell>
          <cell r="D55" t="str">
            <v>ｍ2</v>
          </cell>
        </row>
        <row r="56">
          <cell r="A56">
            <v>17</v>
          </cell>
          <cell r="B56" t="str">
            <v>法面整形</v>
          </cell>
          <cell r="C56" t="str">
            <v>切土　機械</v>
          </cell>
          <cell r="D56" t="str">
            <v>ｍ2</v>
          </cell>
        </row>
        <row r="57">
          <cell r="A57">
            <v>18</v>
          </cell>
          <cell r="B57" t="str">
            <v>プライムコート</v>
          </cell>
          <cell r="C57" t="str">
            <v>市積算要領による</v>
          </cell>
          <cell r="D57" t="str">
            <v>㍑</v>
          </cell>
        </row>
        <row r="58">
          <cell r="A58">
            <v>19</v>
          </cell>
          <cell r="B58" t="str">
            <v>ｸｯｼｮﾝ用砂</v>
          </cell>
          <cell r="C58" t="str">
            <v>t30</v>
          </cell>
          <cell r="D58" t="str">
            <v>ｍ3</v>
          </cell>
        </row>
        <row r="59">
          <cell r="A59">
            <v>20</v>
          </cell>
          <cell r="B59" t="str">
            <v>ｸｯｼｮﾝ用砂</v>
          </cell>
          <cell r="C59" t="str">
            <v>t20</v>
          </cell>
          <cell r="D59" t="str">
            <v>ｍ3</v>
          </cell>
        </row>
        <row r="60">
          <cell r="A60">
            <v>21</v>
          </cell>
          <cell r="B60" t="str">
            <v>モルタル</v>
          </cell>
          <cell r="C60" t="str">
            <v>1：3空練り</v>
          </cell>
          <cell r="D60" t="str">
            <v>ｍ3</v>
          </cell>
        </row>
        <row r="61">
          <cell r="A61">
            <v>22</v>
          </cell>
          <cell r="B61" t="str">
            <v>モルタル</v>
          </cell>
          <cell r="C61" t="str">
            <v>1：3</v>
          </cell>
          <cell r="D61" t="str">
            <v>ｍ3</v>
          </cell>
        </row>
        <row r="62">
          <cell r="A62">
            <v>23</v>
          </cell>
          <cell r="B62" t="str">
            <v>モルタル</v>
          </cell>
          <cell r="C62" t="str">
            <v>1：2</v>
          </cell>
          <cell r="D62" t="str">
            <v>ｍ3</v>
          </cell>
        </row>
        <row r="63">
          <cell r="A63">
            <v>24</v>
          </cell>
          <cell r="B63" t="str">
            <v>モルタル</v>
          </cell>
          <cell r="C63" t="str">
            <v>1：3　ｱ20　壁</v>
          </cell>
          <cell r="D63" t="str">
            <v>㎡</v>
          </cell>
        </row>
        <row r="64">
          <cell r="A64">
            <v>25</v>
          </cell>
          <cell r="B64" t="str">
            <v>モルタル</v>
          </cell>
          <cell r="C64" t="str">
            <v>1：3　ｱ20　床</v>
          </cell>
          <cell r="D64" t="str">
            <v>㎡</v>
          </cell>
        </row>
        <row r="65">
          <cell r="A65">
            <v>26</v>
          </cell>
          <cell r="B65" t="str">
            <v>掘削</v>
          </cell>
          <cell r="C65" t="str">
            <v>　</v>
          </cell>
          <cell r="D65" t="str">
            <v>ｍ3</v>
          </cell>
        </row>
        <row r="66">
          <cell r="A66">
            <v>27</v>
          </cell>
          <cell r="B66" t="str">
            <v>発生土盛土</v>
          </cell>
          <cell r="C66" t="str">
            <v>　</v>
          </cell>
          <cell r="D66" t="str">
            <v>ｍ3</v>
          </cell>
        </row>
        <row r="67">
          <cell r="A67">
            <v>28</v>
          </cell>
          <cell r="B67" t="str">
            <v>表層工</v>
          </cell>
          <cell r="C67" t="str">
            <v>密粒度ｱｽｺﾝ　13　　　　　　　　ｔ30</v>
          </cell>
          <cell r="D67" t="str">
            <v>㎡</v>
          </cell>
        </row>
        <row r="68">
          <cell r="A68">
            <v>29</v>
          </cell>
          <cell r="B68" t="str">
            <v>表層工</v>
          </cell>
          <cell r="C68" t="str">
            <v>密粒度ｱｽｺﾝ　20　ｔ40</v>
          </cell>
          <cell r="D68" t="str">
            <v>㎡</v>
          </cell>
        </row>
        <row r="69">
          <cell r="A69">
            <v>30</v>
          </cell>
          <cell r="B69" t="str">
            <v>表層工</v>
          </cell>
          <cell r="C69" t="str">
            <v>粗粒度ｱｽｺﾝ　ｔ40</v>
          </cell>
          <cell r="D69" t="str">
            <v>㎡</v>
          </cell>
        </row>
        <row r="70">
          <cell r="A70">
            <v>31</v>
          </cell>
          <cell r="B70" t="str">
            <v>表層工</v>
          </cell>
          <cell r="C70" t="str">
            <v>自然色ｱｽｺﾝ　t=60</v>
          </cell>
          <cell r="D70" t="str">
            <v>m3</v>
          </cell>
        </row>
        <row r="71">
          <cell r="A71">
            <v>32</v>
          </cell>
          <cell r="B71" t="str">
            <v>表層工</v>
          </cell>
          <cell r="C71" t="str">
            <v>脱色ｱｽコン　ｔ＝40</v>
          </cell>
          <cell r="D71" t="str">
            <v>㎡</v>
          </cell>
        </row>
        <row r="72">
          <cell r="A72">
            <v>33</v>
          </cell>
          <cell r="B72" t="str">
            <v>再生ｸﾗｯｼｬｰﾗﾝ</v>
          </cell>
          <cell r="C72" t="str">
            <v>（RC-30）基礎ｔ100</v>
          </cell>
          <cell r="D72" t="str">
            <v>ｍ2</v>
          </cell>
        </row>
        <row r="73">
          <cell r="A73">
            <v>34</v>
          </cell>
          <cell r="B73" t="str">
            <v>再生ｸﾗｯｼｬｰﾗﾝ</v>
          </cell>
          <cell r="C73" t="str">
            <v>（RC-40）基礎ｔ100</v>
          </cell>
          <cell r="D73" t="str">
            <v>ｍ2</v>
          </cell>
        </row>
        <row r="74">
          <cell r="A74">
            <v>35</v>
          </cell>
          <cell r="B74" t="str">
            <v>再生ｸﾗｯｼｬｰﾗﾝ</v>
          </cell>
          <cell r="C74" t="str">
            <v>（RC-40）基礎ｔ150</v>
          </cell>
          <cell r="D74" t="str">
            <v>ｍ2</v>
          </cell>
        </row>
        <row r="75">
          <cell r="A75">
            <v>36</v>
          </cell>
          <cell r="B75" t="str">
            <v>再生ｸﾗｯｼｬｰﾗﾝ</v>
          </cell>
          <cell r="C75" t="str">
            <v>（RC-40）基礎ｔ200</v>
          </cell>
          <cell r="D75" t="str">
            <v>ｍ2</v>
          </cell>
        </row>
        <row r="76">
          <cell r="A76">
            <v>37</v>
          </cell>
          <cell r="B76" t="str">
            <v>裏込砕石</v>
          </cell>
          <cell r="C76" t="str">
            <v>ｸﾗｯｼｬｰﾗﾝ（C-40）</v>
          </cell>
          <cell r="D76" t="str">
            <v>ｍ3</v>
          </cell>
        </row>
        <row r="77">
          <cell r="A77">
            <v>38</v>
          </cell>
          <cell r="B77" t="str">
            <v>ｸﾗｯｼｬｰﾗﾝ</v>
          </cell>
          <cell r="C77" t="str">
            <v>（C-40）基礎ｔ100</v>
          </cell>
          <cell r="D77" t="str">
            <v>ｍ2</v>
          </cell>
        </row>
        <row r="78">
          <cell r="A78">
            <v>39</v>
          </cell>
          <cell r="B78" t="str">
            <v>裏込砕石</v>
          </cell>
          <cell r="C78" t="str">
            <v>再生ｸﾗｯｼｬｰﾗﾝ（RC-40）</v>
          </cell>
          <cell r="D78" t="str">
            <v>m3</v>
          </cell>
        </row>
        <row r="79">
          <cell r="A79">
            <v>40</v>
          </cell>
          <cell r="B79" t="str">
            <v>コンクリート</v>
          </cell>
          <cell r="C79" t="str">
            <v>18-8-40BB　均し</v>
          </cell>
          <cell r="D79" t="str">
            <v>ｍ3</v>
          </cell>
        </row>
        <row r="80">
          <cell r="A80">
            <v>41</v>
          </cell>
          <cell r="B80" t="str">
            <v>コンクリート</v>
          </cell>
          <cell r="C80" t="str">
            <v>18-8-40BB　</v>
          </cell>
          <cell r="D80" t="str">
            <v>ｍ3</v>
          </cell>
        </row>
        <row r="81">
          <cell r="A81">
            <v>42</v>
          </cell>
          <cell r="B81" t="str">
            <v>コンクリート</v>
          </cell>
          <cell r="C81" t="str">
            <v>18-8-20BB　</v>
          </cell>
          <cell r="D81" t="str">
            <v>ｍ3</v>
          </cell>
        </row>
        <row r="82">
          <cell r="A82">
            <v>43</v>
          </cell>
          <cell r="B82" t="str">
            <v>コンクリート</v>
          </cell>
          <cell r="C82" t="str">
            <v>24-8-20BB　鉄筋</v>
          </cell>
          <cell r="D82" t="str">
            <v>ｍ3</v>
          </cell>
        </row>
        <row r="83">
          <cell r="A83">
            <v>44</v>
          </cell>
          <cell r="B83" t="str">
            <v>コンクリート</v>
          </cell>
          <cell r="C83" t="str">
            <v>24-8-25(20)BB　        鉄筋</v>
          </cell>
          <cell r="D83" t="str">
            <v>ｍ3</v>
          </cell>
        </row>
        <row r="84">
          <cell r="A84">
            <v>45</v>
          </cell>
          <cell r="B84" t="str">
            <v>コンクリート</v>
          </cell>
          <cell r="C84" t="str">
            <v>21-8-25BB　鉄筋</v>
          </cell>
          <cell r="D84" t="str">
            <v>ｍ3</v>
          </cell>
        </row>
        <row r="85">
          <cell r="A85">
            <v>46</v>
          </cell>
          <cell r="B85" t="str">
            <v>溶接金網</v>
          </cell>
          <cell r="C85" t="str">
            <v>φ6×150×150</v>
          </cell>
          <cell r="D85" t="str">
            <v>㎡</v>
          </cell>
        </row>
        <row r="86">
          <cell r="A86">
            <v>47</v>
          </cell>
          <cell r="B86" t="str">
            <v>中詰コンクリート</v>
          </cell>
          <cell r="C86" t="str">
            <v>18-8-40BB　無筋</v>
          </cell>
          <cell r="D86" t="str">
            <v>ｍ3</v>
          </cell>
        </row>
        <row r="87">
          <cell r="A87">
            <v>48</v>
          </cell>
          <cell r="B87" t="str">
            <v>胴込砕石</v>
          </cell>
          <cell r="C87" t="str">
            <v>再生ｸﾗｯｼｬｰﾗﾝ（RC-40）</v>
          </cell>
          <cell r="D87" t="str">
            <v>m3</v>
          </cell>
        </row>
        <row r="88">
          <cell r="A88">
            <v>49</v>
          </cell>
          <cell r="B88" t="str">
            <v>円形型枠</v>
          </cell>
          <cell r="C88" t="str">
            <v>φ75</v>
          </cell>
          <cell r="D88" t="str">
            <v>ｍ</v>
          </cell>
        </row>
        <row r="89">
          <cell r="A89">
            <v>50</v>
          </cell>
          <cell r="B89" t="str">
            <v>型枠</v>
          </cell>
          <cell r="C89" t="str">
            <v>均し</v>
          </cell>
          <cell r="D89" t="str">
            <v>ｍ2</v>
          </cell>
        </row>
        <row r="90">
          <cell r="A90">
            <v>51</v>
          </cell>
          <cell r="B90" t="str">
            <v>型枠</v>
          </cell>
          <cell r="C90" t="str">
            <v>小型</v>
          </cell>
          <cell r="D90" t="str">
            <v>ｍ2</v>
          </cell>
        </row>
        <row r="91">
          <cell r="A91">
            <v>52</v>
          </cell>
          <cell r="B91" t="str">
            <v>型枠</v>
          </cell>
          <cell r="C91" t="str">
            <v>小型</v>
          </cell>
          <cell r="D91" t="str">
            <v>ｍ2</v>
          </cell>
        </row>
        <row r="92">
          <cell r="A92">
            <v>53</v>
          </cell>
          <cell r="B92" t="str">
            <v>型枠</v>
          </cell>
          <cell r="C92" t="str">
            <v>無筋</v>
          </cell>
          <cell r="D92" t="str">
            <v>ｍ2</v>
          </cell>
        </row>
        <row r="93">
          <cell r="A93">
            <v>54</v>
          </cell>
          <cell r="B93" t="str">
            <v>型枠</v>
          </cell>
          <cell r="C93" t="str">
            <v>鉄筋　H＞4ｍ</v>
          </cell>
          <cell r="D93" t="str">
            <v>ｍ2</v>
          </cell>
        </row>
        <row r="94">
          <cell r="A94">
            <v>55</v>
          </cell>
          <cell r="B94" t="str">
            <v>型枠</v>
          </cell>
          <cell r="C94" t="str">
            <v>鉄筋　H＜4ｍ</v>
          </cell>
          <cell r="D94" t="str">
            <v>ｍ2</v>
          </cell>
        </row>
        <row r="95">
          <cell r="A95">
            <v>56</v>
          </cell>
          <cell r="B95" t="str">
            <v>型枠</v>
          </cell>
          <cell r="C95" t="str">
            <v>打放し</v>
          </cell>
          <cell r="D95" t="str">
            <v>ｍ2</v>
          </cell>
        </row>
        <row r="96">
          <cell r="A96">
            <v>57</v>
          </cell>
          <cell r="B96" t="str">
            <v>円形型枠</v>
          </cell>
          <cell r="C96" t="str">
            <v>φ125</v>
          </cell>
          <cell r="D96" t="str">
            <v>ｍ</v>
          </cell>
        </row>
        <row r="97">
          <cell r="A97">
            <v>58</v>
          </cell>
          <cell r="B97" t="str">
            <v>円形型枠</v>
          </cell>
          <cell r="C97" t="str">
            <v>φ200</v>
          </cell>
          <cell r="D97" t="str">
            <v>ｍ</v>
          </cell>
        </row>
        <row r="98">
          <cell r="A98">
            <v>59</v>
          </cell>
          <cell r="B98" t="str">
            <v>足場工</v>
          </cell>
          <cell r="C98" t="str">
            <v>　</v>
          </cell>
          <cell r="D98" t="str">
            <v>掛㎡</v>
          </cell>
        </row>
        <row r="99">
          <cell r="A99">
            <v>60</v>
          </cell>
          <cell r="B99" t="str">
            <v>支保工</v>
          </cell>
          <cell r="C99" t="str">
            <v>　</v>
          </cell>
          <cell r="D99" t="str">
            <v>空ｍ3</v>
          </cell>
        </row>
        <row r="100">
          <cell r="A100">
            <v>61</v>
          </cell>
          <cell r="B100" t="str">
            <v>コンクリート撤去</v>
          </cell>
          <cell r="C100" t="str">
            <v>無筋</v>
          </cell>
          <cell r="D100" t="str">
            <v>ｍ3</v>
          </cell>
        </row>
        <row r="101">
          <cell r="A101">
            <v>62</v>
          </cell>
          <cell r="B101" t="str">
            <v>コンクリート撤去</v>
          </cell>
          <cell r="C101" t="str">
            <v>無筋</v>
          </cell>
          <cell r="D101" t="str">
            <v>ｍ3</v>
          </cell>
        </row>
        <row r="102">
          <cell r="A102">
            <v>63</v>
          </cell>
          <cell r="B102" t="str">
            <v>地先境界ブロック</v>
          </cell>
          <cell r="C102" t="str">
            <v>擬石150×150×600</v>
          </cell>
          <cell r="D102" t="str">
            <v>ｍ</v>
          </cell>
          <cell r="E102">
            <v>7920</v>
          </cell>
        </row>
        <row r="103">
          <cell r="A103">
            <v>64</v>
          </cell>
          <cell r="B103" t="str">
            <v>地先境界ブロック</v>
          </cell>
          <cell r="C103" t="str">
            <v>擬石100×100×600</v>
          </cell>
          <cell r="D103" t="str">
            <v>ｍ</v>
          </cell>
          <cell r="E103">
            <v>5230</v>
          </cell>
        </row>
        <row r="104">
          <cell r="A104">
            <v>65</v>
          </cell>
          <cell r="B104" t="str">
            <v>支保工</v>
          </cell>
          <cell r="C104" t="str">
            <v> </v>
          </cell>
          <cell r="D104" t="str">
            <v>空ｍ3</v>
          </cell>
        </row>
        <row r="105">
          <cell r="A105">
            <v>66</v>
          </cell>
          <cell r="B105" t="str">
            <v>水抜きパイプ</v>
          </cell>
          <cell r="C105" t="str">
            <v>ＶＵφ75</v>
          </cell>
          <cell r="D105" t="str">
            <v>ｍ</v>
          </cell>
        </row>
        <row r="106">
          <cell r="A106">
            <v>67</v>
          </cell>
          <cell r="B106" t="str">
            <v>伸縮目地</v>
          </cell>
          <cell r="C106" t="str">
            <v>樹脂発泡体　t10</v>
          </cell>
          <cell r="D106" t="str">
            <v>㎡</v>
          </cell>
        </row>
        <row r="107">
          <cell r="A107">
            <v>68</v>
          </cell>
          <cell r="B107" t="str">
            <v>足場工</v>
          </cell>
          <cell r="C107" t="str">
            <v>枠組足場</v>
          </cell>
          <cell r="D107" t="str">
            <v>掛㎡</v>
          </cell>
        </row>
        <row r="108">
          <cell r="A108">
            <v>69</v>
          </cell>
          <cell r="B108" t="str">
            <v>鉄筋</v>
          </cell>
          <cell r="C108" t="str">
            <v>SD345  Ｄ25</v>
          </cell>
          <cell r="D108" t="str">
            <v>kg</v>
          </cell>
        </row>
        <row r="109">
          <cell r="A109">
            <v>70</v>
          </cell>
          <cell r="B109" t="str">
            <v>鉄筋</v>
          </cell>
          <cell r="C109" t="str">
            <v>Ｄ１0</v>
          </cell>
          <cell r="D109" t="str">
            <v>ｔ</v>
          </cell>
        </row>
        <row r="110">
          <cell r="A110">
            <v>71</v>
          </cell>
          <cell r="B110" t="str">
            <v>鉄筋</v>
          </cell>
          <cell r="C110" t="str">
            <v>Ｄ１3</v>
          </cell>
          <cell r="D110" t="str">
            <v>ｔ</v>
          </cell>
        </row>
        <row r="111">
          <cell r="A111">
            <v>72</v>
          </cell>
          <cell r="B111" t="str">
            <v>鉄筋</v>
          </cell>
          <cell r="C111" t="str">
            <v>Ｄ１6</v>
          </cell>
          <cell r="D111" t="str">
            <v>kg</v>
          </cell>
        </row>
        <row r="112">
          <cell r="A112">
            <v>73</v>
          </cell>
          <cell r="B112" t="str">
            <v>鉄筋</v>
          </cell>
          <cell r="C112" t="str">
            <v>Ｄ１9</v>
          </cell>
          <cell r="D112" t="str">
            <v>kg</v>
          </cell>
        </row>
        <row r="113">
          <cell r="A113">
            <v>74</v>
          </cell>
          <cell r="B113" t="str">
            <v>鉄筋加工組立</v>
          </cell>
          <cell r="C113" t="str">
            <v>15％加算</v>
          </cell>
          <cell r="D113" t="str">
            <v>ｔ</v>
          </cell>
        </row>
        <row r="114">
          <cell r="A114">
            <v>75</v>
          </cell>
          <cell r="B114" t="str">
            <v>Ｍ12ｾｯﾄｱﾝｶｰ</v>
          </cell>
          <cell r="C114" t="str">
            <v>　　</v>
          </cell>
          <cell r="D114" t="str">
            <v>本</v>
          </cell>
        </row>
        <row r="115">
          <cell r="A115">
            <v>76</v>
          </cell>
          <cell r="B115" t="str">
            <v>排水管</v>
          </cell>
          <cell r="C115" t="str">
            <v>ＶＵ100</v>
          </cell>
          <cell r="D115" t="str">
            <v>ｍ</v>
          </cell>
        </row>
        <row r="116">
          <cell r="A116">
            <v>77</v>
          </cell>
          <cell r="B116" t="str">
            <v>硬質塩化ﾋﾞﾆﾙﾊﾟｲﾌﾟ</v>
          </cell>
          <cell r="C116" t="str">
            <v>ＶＰ150</v>
          </cell>
          <cell r="D116" t="str">
            <v>ｍ</v>
          </cell>
        </row>
        <row r="117">
          <cell r="A117">
            <v>78</v>
          </cell>
          <cell r="B117" t="str">
            <v>松丸太杭</v>
          </cell>
          <cell r="C117" t="str">
            <v>末口15㎝　L=2.5</v>
          </cell>
          <cell r="D117" t="str">
            <v>本</v>
          </cell>
        </row>
        <row r="118">
          <cell r="A118">
            <v>79</v>
          </cell>
          <cell r="B118" t="str">
            <v>松丸太杭</v>
          </cell>
          <cell r="C118" t="str">
            <v>末口15㎝　L=1.5</v>
          </cell>
          <cell r="D118" t="str">
            <v>本</v>
          </cell>
        </row>
        <row r="119">
          <cell r="A119">
            <v>80</v>
          </cell>
          <cell r="B119" t="str">
            <v>洗出し皿溝ﾌﾞﾛｯｸ</v>
          </cell>
          <cell r="C119" t="str">
            <v>400×600×110</v>
          </cell>
          <cell r="D119" t="str">
            <v>ｍ</v>
          </cell>
          <cell r="E119">
            <v>8800</v>
          </cell>
        </row>
        <row r="120">
          <cell r="A120">
            <v>81</v>
          </cell>
          <cell r="B120" t="str">
            <v>洗い出し皿型　　　　　集水ﾌﾞﾛｯｸ蓋</v>
          </cell>
          <cell r="C120" t="str">
            <v>縁塊共　　　　　　　　　　　　　　　400×600×150t</v>
          </cell>
          <cell r="D120" t="str">
            <v>箇所</v>
          </cell>
          <cell r="E120">
            <v>9116</v>
          </cell>
        </row>
        <row r="121">
          <cell r="A121">
            <v>82</v>
          </cell>
          <cell r="B121" t="str">
            <v>㎡</v>
          </cell>
          <cell r="C121">
            <v>15400</v>
          </cell>
        </row>
        <row r="122">
          <cell r="A122">
            <v>83</v>
          </cell>
          <cell r="B122" t="str">
            <v>本体</v>
          </cell>
          <cell r="C122" t="str">
            <v>　</v>
          </cell>
          <cell r="D122" t="str">
            <v>ｍ</v>
          </cell>
        </row>
        <row r="123">
          <cell r="A123">
            <v>84</v>
          </cell>
          <cell r="B123" t="str">
            <v>本体</v>
          </cell>
          <cell r="C123" t="str">
            <v>　</v>
          </cell>
          <cell r="D123" t="str">
            <v>基</v>
          </cell>
        </row>
        <row r="124">
          <cell r="A124">
            <v>85</v>
          </cell>
          <cell r="B124" t="str">
            <v>本体</v>
          </cell>
          <cell r="C124" t="str">
            <v>　</v>
          </cell>
          <cell r="D124" t="str">
            <v>組</v>
          </cell>
          <cell r="E124">
            <v>500</v>
          </cell>
        </row>
        <row r="125">
          <cell r="A125">
            <v>86</v>
          </cell>
          <cell r="B125" t="str">
            <v>点字ブロック</v>
          </cell>
          <cell r="C125" t="str">
            <v>視覚障害者誘導用　　297×297×80</v>
          </cell>
          <cell r="D125" t="str">
            <v>枚</v>
          </cell>
          <cell r="E125">
            <v>633</v>
          </cell>
        </row>
        <row r="126">
          <cell r="A126">
            <v>87</v>
          </cell>
          <cell r="B126" t="str">
            <v>点字ブロック</v>
          </cell>
          <cell r="C126" t="str">
            <v>視覚障害者誘導用　　297×297×30</v>
          </cell>
          <cell r="D126" t="str">
            <v>枚</v>
          </cell>
          <cell r="E126">
            <v>460</v>
          </cell>
        </row>
        <row r="127">
          <cell r="A127">
            <v>88</v>
          </cell>
          <cell r="B127" t="str">
            <v>基礎ブロック</v>
          </cell>
          <cell r="C127" t="str">
            <v>　　</v>
          </cell>
          <cell r="D127" t="str">
            <v>個</v>
          </cell>
        </row>
        <row r="128">
          <cell r="A128">
            <v>89</v>
          </cell>
          <cell r="B128" t="str">
            <v>PCコンクリート</v>
          </cell>
          <cell r="C128" t="str">
            <v>　</v>
          </cell>
          <cell r="D128" t="str">
            <v>個</v>
          </cell>
        </row>
        <row r="129">
          <cell r="A129">
            <v>90</v>
          </cell>
          <cell r="B129" t="str">
            <v>階段ブロック</v>
          </cell>
          <cell r="C129" t="str">
            <v>擬石300×600×150</v>
          </cell>
          <cell r="D129" t="str">
            <v>個</v>
          </cell>
          <cell r="E129">
            <v>11200</v>
          </cell>
        </row>
        <row r="130">
          <cell r="A130">
            <v>91</v>
          </cell>
          <cell r="B130" t="str">
            <v>階段ブロック</v>
          </cell>
          <cell r="C130" t="str">
            <v>擬石300×300×150</v>
          </cell>
          <cell r="D130" t="str">
            <v>個</v>
          </cell>
          <cell r="E130">
            <v>6403</v>
          </cell>
        </row>
        <row r="131">
          <cell r="A131">
            <v>92</v>
          </cell>
          <cell r="B131" t="str">
            <v>自然石</v>
          </cell>
          <cell r="C131" t="str">
            <v>花崗岩サビ　　　　300×600×ｔ60</v>
          </cell>
          <cell r="D131" t="str">
            <v>ｍ2</v>
          </cell>
        </row>
        <row r="132">
          <cell r="A132">
            <v>93</v>
          </cell>
          <cell r="B132" t="str">
            <v>砂目地</v>
          </cell>
          <cell r="C132" t="str">
            <v>細目　　幅3㎜</v>
          </cell>
          <cell r="D132" t="str">
            <v>ｍ2</v>
          </cell>
        </row>
        <row r="133">
          <cell r="A133">
            <v>94</v>
          </cell>
          <cell r="B133" t="str">
            <v>ｺﾝｸﾘｰﾄ製車輪止め</v>
          </cell>
          <cell r="C133" t="str">
            <v>120/150×120×600</v>
          </cell>
          <cell r="D133" t="str">
            <v>基</v>
          </cell>
          <cell r="E133">
            <v>1170</v>
          </cell>
        </row>
        <row r="134">
          <cell r="A134">
            <v>95</v>
          </cell>
          <cell r="B134" t="str">
            <v>基礎ブロック</v>
          </cell>
          <cell r="C134" t="str">
            <v>200×200×450</v>
          </cell>
          <cell r="D134" t="str">
            <v>基</v>
          </cell>
        </row>
        <row r="135">
          <cell r="A135">
            <v>96</v>
          </cell>
          <cell r="B135" t="str">
            <v>手摺</v>
          </cell>
          <cell r="C135" t="str">
            <v>H＝800</v>
          </cell>
          <cell r="D135" t="str">
            <v>基</v>
          </cell>
          <cell r="E135">
            <v>567600</v>
          </cell>
        </row>
        <row r="136">
          <cell r="A136">
            <v>97</v>
          </cell>
          <cell r="B136" t="str">
            <v>御影石</v>
          </cell>
          <cell r="C136" t="str">
            <v>白　　        　　　　300×500×2000</v>
          </cell>
          <cell r="D136" t="str">
            <v>個</v>
          </cell>
        </row>
        <row r="137">
          <cell r="A137">
            <v>98</v>
          </cell>
          <cell r="B137" t="str">
            <v>松丸太杭</v>
          </cell>
          <cell r="C137" t="str">
            <v>末口15㎝　L=2.0</v>
          </cell>
          <cell r="D137" t="str">
            <v>本</v>
          </cell>
        </row>
        <row r="138">
          <cell r="A138">
            <v>99</v>
          </cell>
          <cell r="B138" t="str">
            <v>松丸太杭</v>
          </cell>
          <cell r="C138" t="str">
            <v>末口15㎝　L=3.0　</v>
          </cell>
          <cell r="D138" t="str">
            <v>本</v>
          </cell>
        </row>
        <row r="139">
          <cell r="A139">
            <v>100</v>
          </cell>
          <cell r="B139" t="str">
            <v>松丸太</v>
          </cell>
          <cell r="C139" t="str">
            <v>φ120　L=1.2</v>
          </cell>
          <cell r="D139" t="str">
            <v>本</v>
          </cell>
        </row>
        <row r="140">
          <cell r="A140">
            <v>101</v>
          </cell>
          <cell r="B140" t="str">
            <v>砂目地</v>
          </cell>
          <cell r="C140" t="str">
            <v>細目</v>
          </cell>
          <cell r="D140" t="str">
            <v>ｍ3</v>
          </cell>
        </row>
        <row r="141">
          <cell r="A141">
            <v>102</v>
          </cell>
          <cell r="B141" t="str">
            <v>目地ﾓﾙﾀﾙ</v>
          </cell>
          <cell r="C141" t="str">
            <v>1：2</v>
          </cell>
          <cell r="D141" t="str">
            <v>ｍ3</v>
          </cell>
        </row>
        <row r="142">
          <cell r="A142">
            <v>103</v>
          </cell>
          <cell r="B142" t="str">
            <v>張芝</v>
          </cell>
          <cell r="C142" t="str">
            <v>半土付　0㎝目地</v>
          </cell>
          <cell r="D142" t="str">
            <v>ｍ2</v>
          </cell>
        </row>
        <row r="143">
          <cell r="A143">
            <v>104</v>
          </cell>
          <cell r="B143" t="str">
            <v>砂</v>
          </cell>
          <cell r="C143" t="str">
            <v>埋管用　荒目</v>
          </cell>
          <cell r="D143" t="str">
            <v>ｍ3</v>
          </cell>
        </row>
        <row r="144">
          <cell r="A144">
            <v>105</v>
          </cell>
          <cell r="B144" t="str">
            <v>鉄筋</v>
          </cell>
          <cell r="C144" t="str">
            <v>SD345  Ｄ13</v>
          </cell>
          <cell r="D144" t="str">
            <v>kg</v>
          </cell>
        </row>
        <row r="145">
          <cell r="A145">
            <v>106</v>
          </cell>
          <cell r="B145" t="str">
            <v>鉄筋</v>
          </cell>
          <cell r="C145" t="str">
            <v>SD345  Ｄ25</v>
          </cell>
          <cell r="D145" t="str">
            <v>kg</v>
          </cell>
        </row>
        <row r="146">
          <cell r="A146">
            <v>107</v>
          </cell>
          <cell r="B146" t="str">
            <v>透水性           自然色ｱｽﾌｧﾙﾄ</v>
          </cell>
          <cell r="C146" t="str">
            <v>ｔ40</v>
          </cell>
          <cell r="D146" t="str">
            <v>ｍ2</v>
          </cell>
        </row>
        <row r="147">
          <cell r="A147">
            <v>108</v>
          </cell>
          <cell r="B147" t="str">
            <v>特殊ｲﾝﾀｰﾛｯｷﾝｸﾞ</v>
          </cell>
          <cell r="C147" t="str">
            <v>298×298×60</v>
          </cell>
          <cell r="D147" t="str">
            <v>ｍ2</v>
          </cell>
        </row>
        <row r="148">
          <cell r="A148">
            <v>109</v>
          </cell>
          <cell r="B148" t="str">
            <v>特殊ｲﾝﾀｰﾛｯｷﾝｸﾞ</v>
          </cell>
          <cell r="C148" t="str">
            <v>298×298×80</v>
          </cell>
          <cell r="D148" t="str">
            <v>ｍ2</v>
          </cell>
        </row>
        <row r="149">
          <cell r="A149">
            <v>110</v>
          </cell>
          <cell r="B149" t="str">
            <v>洗い出し縁石　　　(金華8～12mm）</v>
          </cell>
          <cell r="C149" t="str">
            <v>120×120×600</v>
          </cell>
          <cell r="D149" t="str">
            <v>ｍ</v>
          </cell>
        </row>
        <row r="150">
          <cell r="A150">
            <v>111</v>
          </cell>
          <cell r="B150" t="str">
            <v>地先境界ブロック</v>
          </cell>
          <cell r="C150" t="str">
            <v>150×150×600</v>
          </cell>
          <cell r="D150" t="str">
            <v>ｍ</v>
          </cell>
        </row>
        <row r="151">
          <cell r="A151">
            <v>112</v>
          </cell>
          <cell r="B151" t="str">
            <v>丸太階段</v>
          </cell>
          <cell r="C151" t="str">
            <v>　</v>
          </cell>
          <cell r="D151" t="str">
            <v>段</v>
          </cell>
        </row>
        <row r="152">
          <cell r="A152">
            <v>113</v>
          </cell>
          <cell r="B152" t="str">
            <v>透水性真砂土舗装</v>
          </cell>
          <cell r="C152" t="str">
            <v>土壌固化材使用</v>
          </cell>
          <cell r="D152" t="str">
            <v>ｍ2</v>
          </cell>
        </row>
        <row r="153">
          <cell r="A153">
            <v>114</v>
          </cell>
          <cell r="B153" t="str">
            <v>埋戻土</v>
          </cell>
          <cell r="C153" t="str">
            <v>現場土</v>
          </cell>
          <cell r="D153" t="str">
            <v>ｍ3</v>
          </cell>
        </row>
        <row r="154">
          <cell r="A154">
            <v>115</v>
          </cell>
          <cell r="B154" t="str">
            <v>空石積</v>
          </cell>
          <cell r="C154" t="str">
            <v>自然石φ300～500内外</v>
          </cell>
          <cell r="D154" t="str">
            <v>ｍ2</v>
          </cell>
        </row>
        <row r="155">
          <cell r="A155">
            <v>116</v>
          </cell>
          <cell r="B155" t="str">
            <v>自然石(ｸﾞﾚｰ系)</v>
          </cell>
          <cell r="C155" t="str">
            <v>野面1000×1000×1000内外</v>
          </cell>
          <cell r="D155" t="str">
            <v>個</v>
          </cell>
        </row>
        <row r="157">
          <cell r="A157">
            <v>118</v>
          </cell>
          <cell r="B157" t="str">
            <v>給水管</v>
          </cell>
          <cell r="C157" t="str">
            <v>ﾎﾟﾘｴﾁﾚﾝﾊﾟｲﾌﾟ　20A、25A</v>
          </cell>
          <cell r="D157" t="str">
            <v>ｍ</v>
          </cell>
        </row>
        <row r="158">
          <cell r="A158">
            <v>119</v>
          </cell>
          <cell r="B158" t="str">
            <v>止水栓ボックス蓋</v>
          </cell>
          <cell r="C158" t="str">
            <v>鋳鉄製</v>
          </cell>
          <cell r="D158" t="str">
            <v>基</v>
          </cell>
        </row>
        <row r="159">
          <cell r="A159">
            <v>120</v>
          </cell>
          <cell r="B159" t="str">
            <v>止水栓</v>
          </cell>
          <cell r="C159" t="str">
            <v>１０Ｋ</v>
          </cell>
          <cell r="D159" t="str">
            <v>基</v>
          </cell>
        </row>
        <row r="160">
          <cell r="A160">
            <v>121</v>
          </cell>
          <cell r="B160" t="str">
            <v>散水栓ボックス</v>
          </cell>
          <cell r="C160" t="str">
            <v>鋳鉄製</v>
          </cell>
          <cell r="D160" t="str">
            <v>基</v>
          </cell>
        </row>
        <row r="161">
          <cell r="A161">
            <v>122</v>
          </cell>
          <cell r="B161" t="str">
            <v>散水栓ボックス</v>
          </cell>
        </row>
        <row r="162">
          <cell r="A162">
            <v>123</v>
          </cell>
          <cell r="B162" t="str">
            <v>空洞ブロック</v>
          </cell>
          <cell r="C162" t="str">
            <v>120*190*390　Ｃ種</v>
          </cell>
          <cell r="D162" t="str">
            <v>㎡</v>
          </cell>
        </row>
        <row r="163">
          <cell r="A163">
            <v>124</v>
          </cell>
        </row>
        <row r="164">
          <cell r="A164">
            <v>125</v>
          </cell>
          <cell r="B164" t="str">
            <v>細目ｸﾞﾚｰﾁﾝﾌﾞ蓋</v>
          </cell>
          <cell r="C164" t="str">
            <v>T-2</v>
          </cell>
          <cell r="D164" t="str">
            <v>基</v>
          </cell>
        </row>
        <row r="165">
          <cell r="A165">
            <v>126</v>
          </cell>
          <cell r="B165" t="str">
            <v>細目ｸﾞﾚｰﾁﾝﾌﾞ蓋</v>
          </cell>
          <cell r="C165" t="str">
            <v>T-14</v>
          </cell>
          <cell r="D165" t="str">
            <v>基</v>
          </cell>
        </row>
        <row r="166">
          <cell r="A166">
            <v>127</v>
          </cell>
        </row>
        <row r="167">
          <cell r="A167">
            <v>128</v>
          </cell>
        </row>
        <row r="168">
          <cell r="A168">
            <v>129</v>
          </cell>
          <cell r="B168" t="str">
            <v>ｺﾝｸﾘｰﾄ基礎ﾌﾞﾛｯｸ</v>
          </cell>
          <cell r="C168" t="str">
            <v>300×300×700</v>
          </cell>
          <cell r="D168" t="str">
            <v>個</v>
          </cell>
          <cell r="E168">
            <v>1911000</v>
          </cell>
        </row>
        <row r="169">
          <cell r="A169">
            <v>130</v>
          </cell>
          <cell r="B169" t="str">
            <v>単粒度砕石</v>
          </cell>
          <cell r="C169" t="str">
            <v>５号</v>
          </cell>
          <cell r="D169" t="str">
            <v>ｍ3</v>
          </cell>
          <cell r="E169">
            <v>34193485</v>
          </cell>
        </row>
        <row r="170">
          <cell r="A170">
            <v>131</v>
          </cell>
          <cell r="B170" t="str">
            <v>透水管</v>
          </cell>
          <cell r="C170" t="str">
            <v>φ100波状管</v>
          </cell>
          <cell r="D170" t="str">
            <v>ｍ</v>
          </cell>
          <cell r="E170">
            <v>26515297</v>
          </cell>
        </row>
        <row r="171">
          <cell r="A171">
            <v>132</v>
          </cell>
          <cell r="B171" t="str">
            <v>皿側側溝</v>
          </cell>
          <cell r="C171">
            <v>240</v>
          </cell>
          <cell r="D171" t="str">
            <v>ｍ</v>
          </cell>
          <cell r="E171">
            <v>23502044</v>
          </cell>
        </row>
        <row r="172">
          <cell r="A172">
            <v>133</v>
          </cell>
          <cell r="B172" t="str">
            <v>硬質塩化ﾋﾞﾆﾙ管</v>
          </cell>
          <cell r="C172" t="str">
            <v>Vuφ150</v>
          </cell>
          <cell r="D172" t="str">
            <v>ｍ</v>
          </cell>
          <cell r="E172">
            <v>20713828</v>
          </cell>
        </row>
        <row r="173">
          <cell r="A173">
            <v>134</v>
          </cell>
          <cell r="B173" t="str">
            <v>電線管</v>
          </cell>
          <cell r="C173" t="str">
            <v>FEP30</v>
          </cell>
          <cell r="D173" t="str">
            <v>ｍ</v>
          </cell>
          <cell r="E173">
            <v>6357195</v>
          </cell>
        </row>
        <row r="174">
          <cell r="A174">
            <v>135</v>
          </cell>
          <cell r="B174" t="str">
            <v>式</v>
          </cell>
        </row>
        <row r="175">
          <cell r="A175">
            <v>136</v>
          </cell>
          <cell r="B175" t="str">
            <v>面</v>
          </cell>
        </row>
        <row r="176">
          <cell r="A176">
            <v>137</v>
          </cell>
          <cell r="B176" t="str">
            <v>基</v>
          </cell>
        </row>
        <row r="177">
          <cell r="A177">
            <v>138</v>
          </cell>
          <cell r="B177" t="str">
            <v>基</v>
          </cell>
        </row>
        <row r="178">
          <cell r="A178">
            <v>139</v>
          </cell>
          <cell r="B178" t="str">
            <v>枚</v>
          </cell>
          <cell r="C178">
            <v>50633</v>
          </cell>
        </row>
        <row r="179">
          <cell r="A179">
            <v>140</v>
          </cell>
          <cell r="B179" t="str">
            <v>㎡</v>
          </cell>
          <cell r="C179">
            <v>33266</v>
          </cell>
        </row>
        <row r="180">
          <cell r="A180">
            <v>141</v>
          </cell>
          <cell r="B180" t="str">
            <v>個</v>
          </cell>
          <cell r="C180">
            <v>65733</v>
          </cell>
        </row>
        <row r="181">
          <cell r="A181">
            <v>142</v>
          </cell>
          <cell r="B181" t="str">
            <v>個</v>
          </cell>
          <cell r="C181">
            <v>104900</v>
          </cell>
        </row>
        <row r="182">
          <cell r="A182">
            <v>143</v>
          </cell>
          <cell r="B182" t="str">
            <v>個</v>
          </cell>
          <cell r="C182">
            <v>24533</v>
          </cell>
        </row>
        <row r="183">
          <cell r="A183">
            <v>144</v>
          </cell>
          <cell r="B183" t="str">
            <v>個</v>
          </cell>
          <cell r="C183">
            <v>35500</v>
          </cell>
        </row>
        <row r="184">
          <cell r="A184">
            <v>145</v>
          </cell>
          <cell r="B184" t="str">
            <v>個</v>
          </cell>
          <cell r="C184">
            <v>19500</v>
          </cell>
        </row>
        <row r="185">
          <cell r="A185">
            <v>146</v>
          </cell>
          <cell r="B185" t="str">
            <v>笠石（サンクン上）</v>
          </cell>
          <cell r="C185" t="str">
            <v>外国産花崗岩（ｸﾞﾚｰ）バーナーW400×L150×40/120</v>
          </cell>
          <cell r="D185" t="str">
            <v>ｍ</v>
          </cell>
          <cell r="E185">
            <v>13500</v>
          </cell>
        </row>
        <row r="186">
          <cell r="A186">
            <v>147</v>
          </cell>
          <cell r="B186" t="str">
            <v>土留めウォール笠石</v>
          </cell>
          <cell r="C186" t="str">
            <v>外国産花崗岩（錆）２面割肌W300×L600×ｔ100</v>
          </cell>
          <cell r="D186" t="str">
            <v>ｍ</v>
          </cell>
          <cell r="E186">
            <v>8283</v>
          </cell>
        </row>
        <row r="187">
          <cell r="A187">
            <v>148</v>
          </cell>
          <cell r="B187" t="str">
            <v>土留めウォール側面</v>
          </cell>
          <cell r="C187" t="str">
            <v>外国産花崗岩（錆）ｔ＝60整形乱貼１面割れ肌</v>
          </cell>
          <cell r="D187" t="str">
            <v>㎡</v>
          </cell>
          <cell r="E187">
            <v>24900</v>
          </cell>
        </row>
        <row r="188">
          <cell r="A188">
            <v>149</v>
          </cell>
          <cell r="B188" t="str">
            <v>白川砂利</v>
          </cell>
          <cell r="C188" t="str">
            <v>５分砂利　花崗岩砂利φ15内外</v>
          </cell>
          <cell r="D188" t="str">
            <v>ｍ3</v>
          </cell>
          <cell r="E188">
            <v>96666</v>
          </cell>
        </row>
        <row r="189">
          <cell r="A189">
            <v>150</v>
          </cell>
          <cell r="B189" t="str">
            <v>シェルター照明</v>
          </cell>
          <cell r="C189" t="str">
            <v>照明灯、ランプ、安定期</v>
          </cell>
          <cell r="D189" t="str">
            <v>組</v>
          </cell>
          <cell r="E189">
            <v>300000</v>
          </cell>
        </row>
        <row r="190">
          <cell r="A190">
            <v>151</v>
          </cell>
          <cell r="B190" t="str">
            <v>照明灯Ａ</v>
          </cell>
          <cell r="C190" t="str">
            <v>本体</v>
          </cell>
          <cell r="D190" t="str">
            <v>基</v>
          </cell>
        </row>
        <row r="191">
          <cell r="A191">
            <v>152</v>
          </cell>
          <cell r="B191" t="str">
            <v>照明灯Ａ-１</v>
          </cell>
          <cell r="C191" t="str">
            <v>本体</v>
          </cell>
          <cell r="D191" t="str">
            <v>基</v>
          </cell>
        </row>
        <row r="192">
          <cell r="A192">
            <v>153</v>
          </cell>
          <cell r="B192" t="str">
            <v>照明灯Ｂ</v>
          </cell>
          <cell r="C192" t="str">
            <v>本体</v>
          </cell>
          <cell r="D192" t="str">
            <v>基</v>
          </cell>
        </row>
        <row r="193">
          <cell r="A193">
            <v>154</v>
          </cell>
          <cell r="B193" t="str">
            <v>照明灯Ｂ-１</v>
          </cell>
          <cell r="C193" t="str">
            <v>本体</v>
          </cell>
          <cell r="D193" t="str">
            <v>基</v>
          </cell>
        </row>
        <row r="194">
          <cell r="A194">
            <v>155</v>
          </cell>
          <cell r="B194" t="str">
            <v>照明灯Ｂ-２</v>
          </cell>
          <cell r="C194" t="str">
            <v>本体</v>
          </cell>
          <cell r="D194" t="str">
            <v>基</v>
          </cell>
        </row>
        <row r="195">
          <cell r="A195">
            <v>156</v>
          </cell>
          <cell r="B195" t="str">
            <v>照明灯Ｂ-３</v>
          </cell>
          <cell r="C195" t="str">
            <v>本体</v>
          </cell>
          <cell r="D195" t="str">
            <v>基</v>
          </cell>
        </row>
        <row r="196">
          <cell r="A196">
            <v>157</v>
          </cell>
          <cell r="B196" t="str">
            <v>照明灯Ｃ</v>
          </cell>
          <cell r="C196" t="str">
            <v>本体</v>
          </cell>
          <cell r="D196" t="str">
            <v>基</v>
          </cell>
        </row>
        <row r="197">
          <cell r="A197">
            <v>158</v>
          </cell>
          <cell r="B197" t="str">
            <v>照明灯Ｄ</v>
          </cell>
          <cell r="C197" t="str">
            <v>本体</v>
          </cell>
          <cell r="D197" t="str">
            <v>基</v>
          </cell>
        </row>
        <row r="198">
          <cell r="A198">
            <v>159</v>
          </cell>
          <cell r="B198" t="str">
            <v>照明灯Ｄ-１</v>
          </cell>
          <cell r="C198" t="str">
            <v>本体</v>
          </cell>
          <cell r="D198" t="str">
            <v>基</v>
          </cell>
        </row>
        <row r="199">
          <cell r="A199">
            <v>160</v>
          </cell>
          <cell r="B199" t="str">
            <v>照明灯E</v>
          </cell>
          <cell r="C199" t="str">
            <v>ﾌｯﾄﾗｲﾄ本体</v>
          </cell>
          <cell r="D199" t="str">
            <v>基</v>
          </cell>
        </row>
        <row r="200">
          <cell r="A200">
            <v>161</v>
          </cell>
          <cell r="B200" t="str">
            <v>照明灯F</v>
          </cell>
          <cell r="C200" t="str">
            <v>本体</v>
          </cell>
          <cell r="D200" t="str">
            <v>基</v>
          </cell>
        </row>
        <row r="201">
          <cell r="A201">
            <v>162</v>
          </cell>
          <cell r="B201" t="str">
            <v>照明灯G</v>
          </cell>
          <cell r="C201" t="str">
            <v>本体</v>
          </cell>
          <cell r="D201" t="str">
            <v>基</v>
          </cell>
        </row>
        <row r="202">
          <cell r="A202">
            <v>163</v>
          </cell>
          <cell r="B202" t="str">
            <v>照明灯H</v>
          </cell>
          <cell r="C202" t="str">
            <v>本体</v>
          </cell>
          <cell r="D202" t="str">
            <v>基</v>
          </cell>
        </row>
        <row r="203">
          <cell r="A203">
            <v>164</v>
          </cell>
          <cell r="B203" t="str">
            <v>照明灯Ｉ</v>
          </cell>
          <cell r="C203" t="str">
            <v>本体</v>
          </cell>
          <cell r="D203" t="str">
            <v>基</v>
          </cell>
        </row>
        <row r="204">
          <cell r="A204">
            <v>165</v>
          </cell>
          <cell r="B204" t="str">
            <v>信号Ｊ</v>
          </cell>
          <cell r="C204" t="str">
            <v>本体</v>
          </cell>
          <cell r="D204" t="str">
            <v>基</v>
          </cell>
        </row>
        <row r="205">
          <cell r="A205">
            <v>166</v>
          </cell>
          <cell r="B205" t="str">
            <v>照明灯Ｋ</v>
          </cell>
          <cell r="C205" t="str">
            <v>本体</v>
          </cell>
          <cell r="D205" t="str">
            <v>基</v>
          </cell>
        </row>
        <row r="206">
          <cell r="A206">
            <v>167</v>
          </cell>
          <cell r="B206" t="str">
            <v>自動料金清算機</v>
          </cell>
          <cell r="C206" t="str">
            <v>本体</v>
          </cell>
          <cell r="D206" t="str">
            <v>基</v>
          </cell>
        </row>
        <row r="207">
          <cell r="A207">
            <v>168</v>
          </cell>
          <cell r="B207" t="str">
            <v>インターフェイス盤</v>
          </cell>
          <cell r="C207" t="str">
            <v>　</v>
          </cell>
          <cell r="D207" t="str">
            <v>基</v>
          </cell>
        </row>
        <row r="208">
          <cell r="A208">
            <v>169</v>
          </cell>
          <cell r="B208" t="str">
            <v>案内説明パネル</v>
          </cell>
          <cell r="C208" t="str">
            <v>　</v>
          </cell>
          <cell r="D208" t="str">
            <v>基</v>
          </cell>
        </row>
        <row r="209">
          <cell r="A209">
            <v>170</v>
          </cell>
          <cell r="B209" t="str">
            <v>保護屋根</v>
          </cell>
          <cell r="C209" t="str">
            <v>　</v>
          </cell>
          <cell r="D209" t="str">
            <v>基</v>
          </cell>
        </row>
        <row r="210">
          <cell r="A210">
            <v>171</v>
          </cell>
          <cell r="B210" t="str">
            <v>駐車位置番号表示ポール</v>
          </cell>
          <cell r="C210" t="str">
            <v>　</v>
          </cell>
          <cell r="D210" t="str">
            <v>基</v>
          </cell>
        </row>
        <row r="211">
          <cell r="A211">
            <v>172</v>
          </cell>
          <cell r="B211" t="str">
            <v>保護柵</v>
          </cell>
          <cell r="C211" t="str">
            <v>　</v>
          </cell>
          <cell r="D211" t="str">
            <v>基</v>
          </cell>
        </row>
        <row r="212">
          <cell r="A212">
            <v>173</v>
          </cell>
          <cell r="B212" t="str">
            <v>フラップ盤</v>
          </cell>
          <cell r="C212" t="str">
            <v>本体</v>
          </cell>
          <cell r="D212" t="str">
            <v>基</v>
          </cell>
        </row>
        <row r="213">
          <cell r="A213">
            <v>174</v>
          </cell>
          <cell r="B213" t="str">
            <v>センサー</v>
          </cell>
          <cell r="C213" t="str">
            <v>本体</v>
          </cell>
          <cell r="D213" t="str">
            <v>基</v>
          </cell>
        </row>
        <row r="214">
          <cell r="A214">
            <v>175</v>
          </cell>
          <cell r="B214" t="str">
            <v>PF管</v>
          </cell>
          <cell r="C214" t="str">
            <v>φ22</v>
          </cell>
          <cell r="D214" t="str">
            <v>ｍ</v>
          </cell>
        </row>
        <row r="215">
          <cell r="A215">
            <v>176</v>
          </cell>
          <cell r="B215" t="str">
            <v>ハンドホール</v>
          </cell>
          <cell r="C215" t="str">
            <v>鉄蓋含む</v>
          </cell>
          <cell r="D215" t="str">
            <v>組</v>
          </cell>
        </row>
        <row r="216">
          <cell r="A216">
            <v>177</v>
          </cell>
          <cell r="B216" t="str">
            <v>ハンドホール</v>
          </cell>
          <cell r="C216" t="str">
            <v>　</v>
          </cell>
          <cell r="D216" t="str">
            <v>組</v>
          </cell>
        </row>
        <row r="217">
          <cell r="A217">
            <v>178</v>
          </cell>
          <cell r="B217" t="str">
            <v>化粧蓋</v>
          </cell>
          <cell r="C217" t="str">
            <v>ＩＬＢ用 □600 SUS目地</v>
          </cell>
          <cell r="D217" t="str">
            <v>枚</v>
          </cell>
        </row>
        <row r="218">
          <cell r="A218">
            <v>179</v>
          </cell>
          <cell r="B218" t="str">
            <v>電池式散水制御盤</v>
          </cell>
          <cell r="C218" t="str">
            <v>雨センサー、潅水コンピューター付</v>
          </cell>
          <cell r="D218" t="str">
            <v>基</v>
          </cell>
        </row>
        <row r="219">
          <cell r="A219">
            <v>180</v>
          </cell>
          <cell r="B219" t="str">
            <v>電磁弁</v>
          </cell>
          <cell r="C219" t="str">
            <v>20A（継手共）</v>
          </cell>
          <cell r="D219" t="str">
            <v>基</v>
          </cell>
        </row>
        <row r="220">
          <cell r="A220">
            <v>181</v>
          </cell>
          <cell r="B220" t="str">
            <v>電磁弁BOX</v>
          </cell>
          <cell r="C220" t="str">
            <v>20（ABS製）</v>
          </cell>
          <cell r="D220" t="str">
            <v>基</v>
          </cell>
        </row>
        <row r="221">
          <cell r="A221">
            <v>182</v>
          </cell>
          <cell r="B221" t="str">
            <v>電磁弁</v>
          </cell>
          <cell r="C221" t="str">
            <v>25A（継手共）</v>
          </cell>
          <cell r="D221" t="str">
            <v>基</v>
          </cell>
        </row>
        <row r="222">
          <cell r="A222">
            <v>183</v>
          </cell>
          <cell r="B222" t="str">
            <v>電磁弁BOX</v>
          </cell>
          <cell r="C222" t="str">
            <v>25（ABS製）</v>
          </cell>
          <cell r="D222" t="str">
            <v>基</v>
          </cell>
        </row>
        <row r="223">
          <cell r="A223">
            <v>184</v>
          </cell>
          <cell r="B223" t="str">
            <v>量水基20A</v>
          </cell>
          <cell r="C223" t="str">
            <v>　　</v>
          </cell>
          <cell r="D223" t="str">
            <v>基</v>
          </cell>
        </row>
        <row r="224">
          <cell r="A224">
            <v>185</v>
          </cell>
          <cell r="B224" t="str">
            <v>量水基BOX20</v>
          </cell>
          <cell r="C224" t="str">
            <v>　</v>
          </cell>
          <cell r="D224" t="str">
            <v>基</v>
          </cell>
        </row>
        <row r="225">
          <cell r="A225">
            <v>186</v>
          </cell>
          <cell r="B225" t="str">
            <v>量水基25A</v>
          </cell>
          <cell r="C225" t="str">
            <v>　</v>
          </cell>
          <cell r="D225" t="str">
            <v>基</v>
          </cell>
        </row>
        <row r="226">
          <cell r="A226">
            <v>187</v>
          </cell>
          <cell r="B226" t="str">
            <v>量水基BOX25</v>
          </cell>
          <cell r="C226" t="str">
            <v>　</v>
          </cell>
          <cell r="D226" t="str">
            <v>基</v>
          </cell>
        </row>
        <row r="227">
          <cell r="A227">
            <v>188</v>
          </cell>
          <cell r="B227" t="str">
            <v>仕切弁25A</v>
          </cell>
          <cell r="C227" t="str">
            <v>　</v>
          </cell>
          <cell r="D227" t="str">
            <v>基</v>
          </cell>
        </row>
        <row r="228">
          <cell r="A228">
            <v>189</v>
          </cell>
          <cell r="B228" t="str">
            <v>仕切弁25ABOX</v>
          </cell>
          <cell r="C228" t="str">
            <v>サヤ管VU150共</v>
          </cell>
          <cell r="D228" t="str">
            <v>基</v>
          </cell>
        </row>
        <row r="229">
          <cell r="A229">
            <v>190</v>
          </cell>
          <cell r="B229" t="str">
            <v>吸出防止シート</v>
          </cell>
          <cell r="C229" t="str">
            <v> </v>
          </cell>
          <cell r="D229" t="str">
            <v>㎡</v>
          </cell>
        </row>
        <row r="230">
          <cell r="A230">
            <v>191</v>
          </cell>
          <cell r="B230" t="str">
            <v>防水シール</v>
          </cell>
          <cell r="C230" t="str">
            <v> </v>
          </cell>
          <cell r="D230" t="str">
            <v>ｍ</v>
          </cell>
        </row>
        <row r="231">
          <cell r="A231">
            <v>192</v>
          </cell>
          <cell r="B231" t="str">
            <v>埋設表示シート</v>
          </cell>
          <cell r="C231" t="str">
            <v>W=150</v>
          </cell>
          <cell r="D231" t="str">
            <v>ｍ</v>
          </cell>
        </row>
        <row r="232">
          <cell r="A232">
            <v>193</v>
          </cell>
          <cell r="B232" t="str">
            <v>分電盤</v>
          </cell>
          <cell r="C232" t="str">
            <v>面</v>
          </cell>
        </row>
        <row r="233">
          <cell r="A233">
            <v>194</v>
          </cell>
          <cell r="B233" t="str">
            <v>植生ロ－ル</v>
          </cell>
          <cell r="C233" t="str">
            <v> </v>
          </cell>
          <cell r="D233" t="str">
            <v>ｍ</v>
          </cell>
        </row>
        <row r="234">
          <cell r="A234">
            <v>195</v>
          </cell>
          <cell r="B234" t="str">
            <v>しゅろ縄</v>
          </cell>
          <cell r="C234" t="str">
            <v>φ3</v>
          </cell>
          <cell r="D234" t="str">
            <v>ｍ</v>
          </cell>
        </row>
        <row r="235">
          <cell r="A235">
            <v>196</v>
          </cell>
          <cell r="B235" t="str">
            <v>自然石</v>
          </cell>
          <cell r="C235" t="str">
            <v>φ1500</v>
          </cell>
          <cell r="D235" t="str">
            <v>㎡</v>
          </cell>
        </row>
        <row r="236">
          <cell r="A236">
            <v>197</v>
          </cell>
          <cell r="B236" t="str">
            <v>カゴマット</v>
          </cell>
          <cell r="C236" t="str">
            <v>H=500</v>
          </cell>
          <cell r="D236" t="str">
            <v>㎡</v>
          </cell>
        </row>
        <row r="237">
          <cell r="A237">
            <v>198</v>
          </cell>
          <cell r="B237" t="str">
            <v>松杭</v>
          </cell>
          <cell r="C237" t="str">
            <v>L=3.0</v>
          </cell>
          <cell r="D237" t="str">
            <v>本　</v>
          </cell>
        </row>
        <row r="238">
          <cell r="A238">
            <v>199</v>
          </cell>
          <cell r="B238" t="str">
            <v>松丸太杭</v>
          </cell>
          <cell r="C238" t="str">
            <v>末口15㎝　L=1.0</v>
          </cell>
          <cell r="D238" t="str">
            <v>本</v>
          </cell>
        </row>
        <row r="239">
          <cell r="A239">
            <v>200</v>
          </cell>
          <cell r="B239" t="str">
            <v>　</v>
          </cell>
          <cell r="C239" t="str">
            <v>　</v>
          </cell>
          <cell r="D239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64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15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82</v>
      </c>
      <c r="E7" s="6" t="s">
        <v>32</v>
      </c>
      <c r="F7" s="4">
        <f>((0.4+0.4)*(0.4+0.4)*0.7*4+(0.25+0.4)*(0.25+0.4)*0.5*16)*10</f>
        <v>51.720000000000006</v>
      </c>
      <c r="I7" s="27"/>
      <c r="J7" s="59"/>
    </row>
    <row r="8" spans="2:10" ht="30" customHeight="1">
      <c r="B8" s="5" t="s">
        <v>94</v>
      </c>
      <c r="C8" s="6" t="s">
        <v>95</v>
      </c>
      <c r="D8" s="3" t="s">
        <v>85</v>
      </c>
      <c r="E8" s="6" t="s">
        <v>32</v>
      </c>
      <c r="F8" s="29">
        <f>51.7-7.8</f>
        <v>43.900000000000006</v>
      </c>
      <c r="I8" s="27"/>
      <c r="J8" s="59"/>
    </row>
    <row r="9" spans="2:10" ht="30" customHeight="1">
      <c r="B9" s="5" t="s">
        <v>90</v>
      </c>
      <c r="C9" s="6">
        <v>0</v>
      </c>
      <c r="D9" s="34" t="s">
        <v>84</v>
      </c>
      <c r="E9" s="6" t="s">
        <v>32</v>
      </c>
      <c r="F9" s="4">
        <f>(0.5*0.5*0.1+0.2*0.2*3.14*0.5)*4*10+(0.35*0.35*0.1+0.125*0.125*3.14*0.3)*16*10</f>
        <v>7.827</v>
      </c>
      <c r="I9" s="27"/>
      <c r="J9" s="59"/>
    </row>
    <row r="10" spans="2:10" ht="30" customHeight="1">
      <c r="B10" s="5" t="s">
        <v>96</v>
      </c>
      <c r="C10" s="6">
        <v>0</v>
      </c>
      <c r="D10" s="35" t="s">
        <v>59</v>
      </c>
      <c r="E10" s="6" t="s">
        <v>117</v>
      </c>
      <c r="F10" s="4">
        <f>(0.5*0.5*4+0.35*0.35*16)*10</f>
        <v>29.6</v>
      </c>
      <c r="I10" s="27"/>
      <c r="J10" s="59"/>
    </row>
    <row r="11" spans="2:10" ht="30" customHeight="1">
      <c r="B11" s="5" t="s">
        <v>97</v>
      </c>
      <c r="C11" s="6" t="s">
        <v>98</v>
      </c>
      <c r="D11" s="35" t="s">
        <v>59</v>
      </c>
      <c r="E11" s="6" t="s">
        <v>117</v>
      </c>
      <c r="F11" s="30">
        <f>(0.5*0.5*4+0.35*0.35*16)*10</f>
        <v>29.6</v>
      </c>
      <c r="I11" s="27"/>
      <c r="J11" s="59"/>
    </row>
    <row r="12" spans="2:10" ht="30" customHeight="1">
      <c r="B12" s="5" t="s">
        <v>111</v>
      </c>
      <c r="C12" s="6" t="s">
        <v>112</v>
      </c>
      <c r="D12" s="34" t="s">
        <v>34</v>
      </c>
      <c r="E12" s="6" t="s">
        <v>118</v>
      </c>
      <c r="F12" s="30">
        <f>0.5*4*10</f>
        <v>20</v>
      </c>
      <c r="I12" s="27"/>
      <c r="J12" s="59"/>
    </row>
    <row r="13" spans="2:10" ht="30" customHeight="1">
      <c r="B13" s="5" t="s">
        <v>111</v>
      </c>
      <c r="C13" s="6" t="s">
        <v>113</v>
      </c>
      <c r="D13" s="36" t="s">
        <v>36</v>
      </c>
      <c r="E13" s="6" t="s">
        <v>118</v>
      </c>
      <c r="F13" s="65">
        <f>0.3*16*10</f>
        <v>48</v>
      </c>
      <c r="I13" s="27"/>
      <c r="J13" s="59"/>
    </row>
    <row r="14" spans="2:10" ht="30" customHeight="1">
      <c r="B14" s="5" t="s">
        <v>92</v>
      </c>
      <c r="C14" s="6" t="s">
        <v>93</v>
      </c>
      <c r="D14" s="47" t="s">
        <v>60</v>
      </c>
      <c r="E14" s="6" t="s">
        <v>32</v>
      </c>
      <c r="F14" s="30">
        <f>(0.2*0.2*3.14*0.5*4+0.125*0.125*3.14*0.3*16)*10</f>
        <v>4.867</v>
      </c>
      <c r="I14" s="27"/>
      <c r="J14" s="59"/>
    </row>
    <row r="15" spans="2:10" ht="30" customHeight="1">
      <c r="B15" s="5"/>
      <c r="C15" s="6"/>
      <c r="D15" s="49"/>
      <c r="E15" s="6"/>
      <c r="F15" s="48"/>
      <c r="I15" s="27"/>
      <c r="J15" s="59"/>
    </row>
    <row r="16" spans="2:10" ht="30" customHeight="1">
      <c r="B16" s="5" t="s">
        <v>116</v>
      </c>
      <c r="C16" s="6" t="s">
        <v>101</v>
      </c>
      <c r="D16" s="36">
        <v>10</v>
      </c>
      <c r="E16" s="6" t="s">
        <v>119</v>
      </c>
      <c r="F16" s="60">
        <f>10</f>
        <v>10</v>
      </c>
      <c r="I16" s="27"/>
      <c r="J16" s="59"/>
    </row>
    <row r="17" spans="2:10" ht="30" customHeight="1">
      <c r="B17" s="5" t="s">
        <v>115</v>
      </c>
      <c r="C17" s="6">
        <v>0</v>
      </c>
      <c r="D17" s="36">
        <v>10</v>
      </c>
      <c r="E17" s="6" t="s">
        <v>119</v>
      </c>
      <c r="F17" s="60">
        <f>10</f>
        <v>10</v>
      </c>
      <c r="I17" s="27"/>
      <c r="J17" s="59"/>
    </row>
    <row r="18" spans="2:10" ht="30" customHeight="1">
      <c r="B18" s="5" t="s">
        <v>103</v>
      </c>
      <c r="C18" s="6">
        <v>0</v>
      </c>
      <c r="D18" s="36">
        <v>10</v>
      </c>
      <c r="E18" s="6" t="s">
        <v>121</v>
      </c>
      <c r="F18" s="60">
        <f>10</f>
        <v>10</v>
      </c>
      <c r="I18" s="27"/>
      <c r="J18" s="59"/>
    </row>
    <row r="19" spans="2:10" ht="30" customHeight="1">
      <c r="B19" s="5"/>
      <c r="C19" s="6"/>
      <c r="D19" s="3"/>
      <c r="E19" s="6"/>
      <c r="F19" s="56"/>
      <c r="I19" s="27"/>
      <c r="J19" s="59"/>
    </row>
    <row r="20" spans="2:10" ht="30" customHeight="1">
      <c r="B20" s="5"/>
      <c r="C20" s="6"/>
      <c r="D20" s="36"/>
      <c r="E20" s="6"/>
      <c r="F20" s="37"/>
      <c r="I20" s="27"/>
      <c r="J20" s="59"/>
    </row>
    <row r="21" spans="2:10" ht="30" customHeight="1">
      <c r="B21" s="5"/>
      <c r="C21" s="6"/>
      <c r="D21" s="36"/>
      <c r="E21" s="6"/>
      <c r="F21" s="37"/>
      <c r="I21" s="27"/>
      <c r="J21" s="59"/>
    </row>
    <row r="22" spans="2:10" ht="30" customHeight="1">
      <c r="B22" s="5"/>
      <c r="C22" s="6"/>
      <c r="D22" s="35"/>
      <c r="E22" s="33"/>
      <c r="F22" s="4"/>
      <c r="I22" s="27"/>
      <c r="J22" s="59"/>
    </row>
    <row r="23" spans="2:10" ht="30" customHeight="1">
      <c r="B23" s="5"/>
      <c r="C23" s="6"/>
      <c r="D23" s="38"/>
      <c r="E23" s="33"/>
      <c r="F23" s="4"/>
      <c r="I23" s="27"/>
      <c r="J23" s="59"/>
    </row>
    <row r="24" spans="2:10" ht="30" customHeight="1">
      <c r="B24" s="5"/>
      <c r="C24" s="6"/>
      <c r="D24" s="36"/>
      <c r="E24" s="33"/>
      <c r="F24" s="31"/>
      <c r="I24" s="27"/>
      <c r="J24" s="59"/>
    </row>
    <row r="25" spans="2:10" ht="30" customHeight="1">
      <c r="B25" s="5"/>
      <c r="C25" s="6"/>
      <c r="D25" s="35"/>
      <c r="E25" s="33"/>
      <c r="F25" s="4"/>
      <c r="I25" s="27"/>
      <c r="J25" s="59"/>
    </row>
    <row r="26" spans="2:10" ht="30" customHeight="1">
      <c r="B26" s="5"/>
      <c r="C26" s="6"/>
      <c r="D26" s="35"/>
      <c r="E26" s="6"/>
      <c r="F26" s="37"/>
      <c r="I26" s="27"/>
      <c r="J26" s="59"/>
    </row>
    <row r="27" spans="2:10" ht="30" customHeight="1">
      <c r="B27" s="32"/>
      <c r="C27" s="6"/>
      <c r="D27" s="35"/>
      <c r="E27" s="33"/>
      <c r="F27" s="37"/>
      <c r="I27" s="27"/>
      <c r="J27" s="59"/>
    </row>
    <row r="28" spans="2:10" ht="30" customHeight="1">
      <c r="B28" s="32"/>
      <c r="C28" s="6"/>
      <c r="D28" s="38"/>
      <c r="E28" s="33"/>
      <c r="F28" s="30"/>
      <c r="I28" s="27"/>
      <c r="J28" s="59"/>
    </row>
    <row r="29" spans="2:10" ht="30" customHeight="1" thickBot="1">
      <c r="B29" s="39"/>
      <c r="C29" s="40"/>
      <c r="D29" s="41"/>
      <c r="E29" s="40"/>
      <c r="F29" s="42"/>
      <c r="I29" s="27"/>
      <c r="J29" s="59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67" t="s">
        <v>8</v>
      </c>
    </row>
    <row r="2" spans="2:6" ht="27.75" customHeight="1">
      <c r="B2" s="68" t="s">
        <v>14</v>
      </c>
      <c r="C2" s="69"/>
      <c r="D2" s="69"/>
      <c r="E2" s="69"/>
      <c r="F2" s="70"/>
    </row>
    <row r="3" spans="1:6" ht="22.5" customHeight="1">
      <c r="A3" s="71"/>
      <c r="B3" s="72" t="s">
        <v>158</v>
      </c>
      <c r="C3" s="73"/>
      <c r="D3" s="74"/>
      <c r="E3" s="75"/>
      <c r="F3" s="76"/>
    </row>
    <row r="4" spans="2:6" ht="1.5" customHeight="1">
      <c r="B4" s="77"/>
      <c r="C4" s="78"/>
      <c r="D4" s="78"/>
      <c r="E4" s="78"/>
      <c r="F4" s="79"/>
    </row>
    <row r="5" spans="2:6" ht="25.5" customHeight="1">
      <c r="B5" s="80"/>
      <c r="C5" s="81"/>
      <c r="D5" s="81"/>
      <c r="E5" s="7">
        <v>10</v>
      </c>
      <c r="F5" s="8" t="s">
        <v>123</v>
      </c>
    </row>
    <row r="6" spans="2:10" ht="20.25" customHeight="1">
      <c r="B6" s="82" t="s">
        <v>9</v>
      </c>
      <c r="C6" s="83" t="s">
        <v>10</v>
      </c>
      <c r="D6" s="83" t="s">
        <v>13</v>
      </c>
      <c r="E6" s="83" t="s">
        <v>11</v>
      </c>
      <c r="F6" s="84" t="s">
        <v>12</v>
      </c>
      <c r="I6" s="85"/>
      <c r="J6" s="85"/>
    </row>
    <row r="7" spans="2:6" ht="1.5" customHeight="1">
      <c r="B7" s="86"/>
      <c r="C7" s="87"/>
      <c r="D7" s="87"/>
      <c r="E7" s="87"/>
      <c r="F7" s="88"/>
    </row>
    <row r="8" spans="2:10" ht="30" customHeight="1">
      <c r="B8" s="5" t="s">
        <v>136</v>
      </c>
      <c r="C8" s="6"/>
      <c r="D8" s="3" t="s">
        <v>137</v>
      </c>
      <c r="E8" s="6" t="s">
        <v>138</v>
      </c>
      <c r="F8" s="29">
        <f>(0.3+0.4)*(0.3+0.4)*0.63*2*10</f>
        <v>6.1739999999999995</v>
      </c>
      <c r="I8" s="90"/>
      <c r="J8" s="91"/>
    </row>
    <row r="9" spans="2:10" ht="30" customHeight="1">
      <c r="B9" s="5" t="s">
        <v>139</v>
      </c>
      <c r="C9" s="6"/>
      <c r="D9" s="3" t="s">
        <v>140</v>
      </c>
      <c r="E9" s="6" t="s">
        <v>138</v>
      </c>
      <c r="F9" s="29">
        <f>6.2-0.8</f>
        <v>5.4</v>
      </c>
      <c r="I9" s="90"/>
      <c r="J9" s="91"/>
    </row>
    <row r="10" spans="2:10" ht="30" customHeight="1">
      <c r="B10" s="5" t="s">
        <v>141</v>
      </c>
      <c r="C10" s="6"/>
      <c r="D10" s="3" t="s">
        <v>142</v>
      </c>
      <c r="E10" s="6" t="s">
        <v>138</v>
      </c>
      <c r="F10" s="109">
        <f>(0.4*0.4*0.1+0.3*0.3*0.5*0.53)*2*10</f>
        <v>0.797</v>
      </c>
      <c r="I10" s="90"/>
      <c r="J10" s="91"/>
    </row>
    <row r="11" spans="2:10" ht="30" customHeight="1">
      <c r="B11" s="5" t="s">
        <v>96</v>
      </c>
      <c r="C11" s="6"/>
      <c r="D11" s="35" t="s">
        <v>143</v>
      </c>
      <c r="E11" s="6" t="s">
        <v>117</v>
      </c>
      <c r="F11" s="29">
        <f>0.4*0.4*2*10</f>
        <v>3.2000000000000006</v>
      </c>
      <c r="I11" s="90"/>
      <c r="J11" s="91"/>
    </row>
    <row r="12" spans="2:10" ht="30" customHeight="1">
      <c r="B12" s="5" t="s">
        <v>97</v>
      </c>
      <c r="C12" s="6" t="s">
        <v>98</v>
      </c>
      <c r="D12" s="93" t="s">
        <v>143</v>
      </c>
      <c r="E12" s="6" t="s">
        <v>117</v>
      </c>
      <c r="F12" s="54">
        <f>0.4*0.4*2*10</f>
        <v>3.2000000000000006</v>
      </c>
      <c r="I12" s="90"/>
      <c r="J12" s="91"/>
    </row>
    <row r="13" spans="2:10" ht="30" customHeight="1">
      <c r="B13" s="5" t="s">
        <v>91</v>
      </c>
      <c r="C13" s="6"/>
      <c r="D13" s="94" t="s">
        <v>144</v>
      </c>
      <c r="E13" s="6" t="s">
        <v>117</v>
      </c>
      <c r="F13" s="54">
        <f>0.03*0.3*4*2*10</f>
        <v>0.72</v>
      </c>
      <c r="I13" s="90"/>
      <c r="J13" s="91"/>
    </row>
    <row r="14" spans="2:10" ht="30" customHeight="1">
      <c r="B14" s="5" t="s">
        <v>145</v>
      </c>
      <c r="C14" s="6" t="s">
        <v>146</v>
      </c>
      <c r="D14" s="49" t="s">
        <v>147</v>
      </c>
      <c r="E14" s="6" t="s">
        <v>32</v>
      </c>
      <c r="F14" s="57">
        <f>0.3*0.3*0.03*2*10</f>
        <v>0.05399999999999999</v>
      </c>
      <c r="I14" s="90"/>
      <c r="J14" s="91"/>
    </row>
    <row r="15" spans="2:10" ht="30" customHeight="1">
      <c r="B15" s="5" t="s">
        <v>148</v>
      </c>
      <c r="C15" s="110" t="s">
        <v>149</v>
      </c>
      <c r="D15" s="36" t="s">
        <v>150</v>
      </c>
      <c r="E15" s="6" t="s">
        <v>138</v>
      </c>
      <c r="F15" s="57">
        <f>(0.22*0.22*0.5-(0.06*0.06*0.25+0.0506^2*3.14*0.25*0.2))*2*10</f>
        <v>0.4579604696</v>
      </c>
      <c r="I15" s="90"/>
      <c r="J15" s="91"/>
    </row>
    <row r="16" spans="2:10" ht="30" customHeight="1">
      <c r="B16" s="5" t="s">
        <v>151</v>
      </c>
      <c r="C16" s="6" t="s">
        <v>152</v>
      </c>
      <c r="D16" s="36" t="s">
        <v>153</v>
      </c>
      <c r="E16" s="6" t="s">
        <v>154</v>
      </c>
      <c r="F16" s="58">
        <f>2*10</f>
        <v>20</v>
      </c>
      <c r="I16" s="90"/>
      <c r="J16" s="91"/>
    </row>
    <row r="17" spans="2:10" ht="30" customHeight="1">
      <c r="B17" s="5" t="s">
        <v>155</v>
      </c>
      <c r="C17" s="6" t="s">
        <v>101</v>
      </c>
      <c r="D17" s="36">
        <v>10</v>
      </c>
      <c r="E17" s="6" t="s">
        <v>119</v>
      </c>
      <c r="F17" s="58">
        <v>10</v>
      </c>
      <c r="I17" s="90"/>
      <c r="J17" s="91"/>
    </row>
    <row r="18" spans="2:10" ht="30" customHeight="1">
      <c r="B18" s="5"/>
      <c r="C18" s="6"/>
      <c r="D18" s="36"/>
      <c r="E18" s="6"/>
      <c r="F18" s="58"/>
      <c r="I18" s="90"/>
      <c r="J18" s="91"/>
    </row>
    <row r="19" spans="2:10" ht="30" customHeight="1">
      <c r="B19" s="5"/>
      <c r="C19" s="6"/>
      <c r="D19" s="36"/>
      <c r="E19" s="6"/>
      <c r="F19" s="58"/>
      <c r="I19" s="90"/>
      <c r="J19" s="91"/>
    </row>
    <row r="20" spans="2:10" ht="30" customHeight="1">
      <c r="B20" s="5"/>
      <c r="C20" s="6"/>
      <c r="D20" s="36"/>
      <c r="E20" s="33"/>
      <c r="F20" s="64"/>
      <c r="I20" s="90"/>
      <c r="J20" s="91"/>
    </row>
    <row r="21" spans="2:10" ht="30" customHeight="1">
      <c r="B21" s="5"/>
      <c r="C21" s="6"/>
      <c r="D21" s="36"/>
      <c r="E21" s="111"/>
      <c r="F21" s="60"/>
      <c r="I21" s="90"/>
      <c r="J21" s="91"/>
    </row>
    <row r="22" spans="2:10" ht="30" customHeight="1">
      <c r="B22" s="5"/>
      <c r="C22" s="6"/>
      <c r="D22" s="36"/>
      <c r="E22" s="111"/>
      <c r="F22" s="60"/>
      <c r="I22" s="90"/>
      <c r="J22" s="91"/>
    </row>
    <row r="23" spans="2:10" ht="30" customHeight="1">
      <c r="B23" s="5"/>
      <c r="C23" s="6"/>
      <c r="D23" s="36"/>
      <c r="E23" s="6"/>
      <c r="F23" s="58"/>
      <c r="I23" s="90"/>
      <c r="J23" s="91"/>
    </row>
    <row r="24" spans="2:10" ht="30" customHeight="1">
      <c r="B24" s="5"/>
      <c r="C24" s="6"/>
      <c r="D24" s="36"/>
      <c r="E24" s="33"/>
      <c r="F24" s="64"/>
      <c r="I24" s="90"/>
      <c r="J24" s="91"/>
    </row>
    <row r="25" spans="2:10" ht="30" customHeight="1">
      <c r="B25" s="95"/>
      <c r="C25" s="96"/>
      <c r="D25" s="97"/>
      <c r="E25" s="96"/>
      <c r="F25" s="98"/>
      <c r="I25" s="90"/>
      <c r="J25" s="91"/>
    </row>
    <row r="26" spans="2:10" ht="30" customHeight="1">
      <c r="B26" s="95"/>
      <c r="C26" s="96"/>
      <c r="D26" s="97"/>
      <c r="E26" s="96"/>
      <c r="F26" s="98"/>
      <c r="I26" s="90"/>
      <c r="J26" s="91"/>
    </row>
    <row r="27" spans="2:10" ht="30" customHeight="1">
      <c r="B27" s="95"/>
      <c r="C27" s="96"/>
      <c r="D27" s="97"/>
      <c r="E27" s="96"/>
      <c r="F27" s="98"/>
      <c r="I27" s="90"/>
      <c r="J27" s="91"/>
    </row>
    <row r="28" spans="2:10" ht="30" customHeight="1">
      <c r="B28" s="95"/>
      <c r="C28" s="96"/>
      <c r="D28" s="97"/>
      <c r="E28" s="96"/>
      <c r="F28" s="98"/>
      <c r="I28" s="90"/>
      <c r="J28" s="91"/>
    </row>
    <row r="29" spans="2:10" ht="30" customHeight="1">
      <c r="B29" s="95"/>
      <c r="C29" s="96"/>
      <c r="D29" s="99"/>
      <c r="E29" s="96"/>
      <c r="F29" s="100"/>
      <c r="I29" s="90"/>
      <c r="J29" s="91"/>
    </row>
    <row r="30" spans="2:10" ht="30" customHeight="1" thickBot="1">
      <c r="B30" s="101"/>
      <c r="C30" s="102"/>
      <c r="D30" s="103"/>
      <c r="E30" s="102"/>
      <c r="F30" s="104"/>
      <c r="I30" s="90"/>
      <c r="J30" s="91"/>
    </row>
    <row r="32" spans="9:10" ht="13.5">
      <c r="I32" s="85"/>
      <c r="J32" s="105"/>
    </row>
    <row r="33" spans="1:4" ht="13.5">
      <c r="A33" s="75"/>
      <c r="B33" s="75"/>
      <c r="C33" s="75"/>
      <c r="D33" s="75"/>
    </row>
    <row r="34" spans="1:4" ht="13.5">
      <c r="A34" s="75"/>
      <c r="B34" s="106"/>
      <c r="C34" s="106"/>
      <c r="D34" s="75"/>
    </row>
    <row r="35" spans="1:4" ht="13.5">
      <c r="A35" s="75"/>
      <c r="B35" s="106"/>
      <c r="C35" s="106"/>
      <c r="D35" s="75"/>
    </row>
    <row r="36" spans="1:4" ht="13.5">
      <c r="A36" s="75"/>
      <c r="B36" s="106"/>
      <c r="C36" s="106"/>
      <c r="D36" s="75"/>
    </row>
    <row r="37" spans="1:4" ht="13.5">
      <c r="A37" s="75"/>
      <c r="B37" s="106"/>
      <c r="C37" s="106"/>
      <c r="D37" s="75"/>
    </row>
    <row r="38" spans="1:4" ht="13.5">
      <c r="A38" s="75"/>
      <c r="B38" s="106"/>
      <c r="C38" s="106"/>
      <c r="D38" s="75"/>
    </row>
    <row r="39" spans="1:4" ht="13.5">
      <c r="A39" s="75"/>
      <c r="B39" s="106"/>
      <c r="C39" s="106"/>
      <c r="D39" s="75"/>
    </row>
    <row r="40" spans="1:4" ht="13.5">
      <c r="A40" s="75"/>
      <c r="B40" s="106"/>
      <c r="C40" s="106"/>
      <c r="D40" s="75"/>
    </row>
    <row r="41" spans="1:4" ht="13.5">
      <c r="A41" s="75"/>
      <c r="B41" s="106"/>
      <c r="C41" s="106"/>
      <c r="D41" s="75"/>
    </row>
    <row r="42" spans="1:4" ht="13.5">
      <c r="A42" s="75"/>
      <c r="B42" s="106"/>
      <c r="C42" s="107"/>
      <c r="D42" s="75"/>
    </row>
    <row r="43" spans="1:4" ht="13.5">
      <c r="A43" s="75"/>
      <c r="B43" s="108"/>
      <c r="C43" s="106"/>
      <c r="D43" s="75"/>
    </row>
    <row r="44" spans="1:4" ht="13.5">
      <c r="A44" s="75"/>
      <c r="B44" s="106"/>
      <c r="C44" s="107"/>
      <c r="D44" s="75"/>
    </row>
    <row r="45" spans="1:4" ht="13.5">
      <c r="A45" s="75"/>
      <c r="B45" s="75"/>
      <c r="C45" s="75"/>
      <c r="D45" s="75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122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15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83</v>
      </c>
      <c r="E7" s="6" t="s">
        <v>32</v>
      </c>
      <c r="F7" s="4">
        <f>((0.4+0.4)*(0.4+0.4)*0.7*6+(0.25+0.4)*(0.25+0.4)*0.5*20)*10</f>
        <v>69.13000000000001</v>
      </c>
      <c r="I7" s="27"/>
      <c r="J7" s="59"/>
    </row>
    <row r="8" spans="2:10" ht="30" customHeight="1">
      <c r="B8" s="5" t="s">
        <v>94</v>
      </c>
      <c r="C8" s="6" t="s">
        <v>95</v>
      </c>
      <c r="D8" s="3" t="s">
        <v>87</v>
      </c>
      <c r="E8" s="6" t="s">
        <v>32</v>
      </c>
      <c r="F8" s="29">
        <f>69.1-10.7</f>
        <v>58.39999999999999</v>
      </c>
      <c r="I8" s="27"/>
      <c r="J8" s="59"/>
    </row>
    <row r="9" spans="2:10" ht="30" customHeight="1">
      <c r="B9" s="5" t="s">
        <v>90</v>
      </c>
      <c r="C9" s="6">
        <v>0</v>
      </c>
      <c r="D9" s="34" t="s">
        <v>86</v>
      </c>
      <c r="E9" s="6" t="s">
        <v>32</v>
      </c>
      <c r="F9" s="4">
        <f>(0.5*0.5*0.1+0.2*0.2*3.14*0.5)*6*10+(0.35*0.35*0.1+0.125*0.125*3.14*0.3)*20*10</f>
        <v>10.661750000000001</v>
      </c>
      <c r="I9" s="27"/>
      <c r="J9" s="59"/>
    </row>
    <row r="10" spans="2:10" ht="30" customHeight="1">
      <c r="B10" s="5" t="s">
        <v>96</v>
      </c>
      <c r="C10" s="6">
        <v>0</v>
      </c>
      <c r="D10" s="35" t="s">
        <v>61</v>
      </c>
      <c r="E10" s="6" t="s">
        <v>117</v>
      </c>
      <c r="F10" s="4">
        <f>(0.5*0.5*6+0.35*0.35*20)*10</f>
        <v>39.5</v>
      </c>
      <c r="I10" s="27"/>
      <c r="J10" s="59"/>
    </row>
    <row r="11" spans="2:10" ht="30" customHeight="1">
      <c r="B11" s="5" t="s">
        <v>97</v>
      </c>
      <c r="C11" s="6" t="s">
        <v>98</v>
      </c>
      <c r="D11" s="35" t="s">
        <v>61</v>
      </c>
      <c r="E11" s="6" t="s">
        <v>117</v>
      </c>
      <c r="F11" s="30">
        <f>(0.5*0.5*6+0.35*0.35*20)*10</f>
        <v>39.5</v>
      </c>
      <c r="I11" s="27"/>
      <c r="J11" s="59"/>
    </row>
    <row r="12" spans="2:10" ht="30" customHeight="1">
      <c r="B12" s="5" t="s">
        <v>111</v>
      </c>
      <c r="C12" s="6" t="s">
        <v>112</v>
      </c>
      <c r="D12" s="34" t="s">
        <v>35</v>
      </c>
      <c r="E12" s="6" t="s">
        <v>118</v>
      </c>
      <c r="F12" s="30">
        <f>0.5*6*10</f>
        <v>30</v>
      </c>
      <c r="I12" s="27"/>
      <c r="J12" s="59"/>
    </row>
    <row r="13" spans="2:10" ht="30" customHeight="1">
      <c r="B13" s="5" t="s">
        <v>111</v>
      </c>
      <c r="C13" s="6" t="s">
        <v>113</v>
      </c>
      <c r="D13" s="36" t="s">
        <v>62</v>
      </c>
      <c r="E13" s="6" t="s">
        <v>118</v>
      </c>
      <c r="F13" s="65">
        <f>0.3*20*10</f>
        <v>60</v>
      </c>
      <c r="I13" s="27"/>
      <c r="J13" s="59"/>
    </row>
    <row r="14" spans="2:10" ht="30" customHeight="1">
      <c r="B14" s="5" t="s">
        <v>92</v>
      </c>
      <c r="C14" s="6" t="s">
        <v>93</v>
      </c>
      <c r="D14" s="47" t="s">
        <v>63</v>
      </c>
      <c r="E14" s="6" t="s">
        <v>32</v>
      </c>
      <c r="F14" s="30">
        <f>(0.2*0.2*3.14*0.5*6+0.125*0.125*3.14*0.3*20)*10</f>
        <v>6.71175</v>
      </c>
      <c r="I14" s="27"/>
      <c r="J14" s="59"/>
    </row>
    <row r="15" spans="2:10" ht="30" customHeight="1">
      <c r="B15" s="5"/>
      <c r="C15" s="6"/>
      <c r="D15" s="49"/>
      <c r="E15" s="6"/>
      <c r="F15" s="48"/>
      <c r="I15" s="27"/>
      <c r="J15" s="59"/>
    </row>
    <row r="16" spans="2:10" ht="30" customHeight="1">
      <c r="B16" s="5" t="s">
        <v>114</v>
      </c>
      <c r="C16" s="6">
        <v>0</v>
      </c>
      <c r="D16" s="36">
        <v>10</v>
      </c>
      <c r="E16" s="6" t="s">
        <v>119</v>
      </c>
      <c r="F16" s="60">
        <f>10</f>
        <v>10</v>
      </c>
      <c r="I16" s="27"/>
      <c r="J16" s="59"/>
    </row>
    <row r="17" spans="2:10" ht="30" customHeight="1">
      <c r="B17" s="5" t="s">
        <v>115</v>
      </c>
      <c r="C17" s="6">
        <v>0</v>
      </c>
      <c r="D17" s="36">
        <v>10</v>
      </c>
      <c r="E17" s="6" t="s">
        <v>119</v>
      </c>
      <c r="F17" s="60">
        <f>10</f>
        <v>10</v>
      </c>
      <c r="I17" s="27"/>
      <c r="J17" s="59"/>
    </row>
    <row r="18" spans="2:10" ht="30" customHeight="1">
      <c r="B18" s="5" t="s">
        <v>103</v>
      </c>
      <c r="C18" s="6">
        <v>0</v>
      </c>
      <c r="D18" s="36">
        <v>10</v>
      </c>
      <c r="E18" s="6" t="s">
        <v>121</v>
      </c>
      <c r="F18" s="60">
        <f>10</f>
        <v>10</v>
      </c>
      <c r="I18" s="27"/>
      <c r="J18" s="59"/>
    </row>
    <row r="19" spans="2:10" ht="30" customHeight="1">
      <c r="B19" s="5"/>
      <c r="C19" s="6"/>
      <c r="D19" s="3"/>
      <c r="E19" s="6"/>
      <c r="F19" s="56"/>
      <c r="I19" s="27"/>
      <c r="J19" s="59"/>
    </row>
    <row r="20" spans="2:10" ht="30" customHeight="1">
      <c r="B20" s="5"/>
      <c r="C20" s="6"/>
      <c r="D20" s="36"/>
      <c r="E20" s="6"/>
      <c r="F20" s="37"/>
      <c r="I20" s="27"/>
      <c r="J20" s="59"/>
    </row>
    <row r="21" spans="2:10" ht="30" customHeight="1">
      <c r="B21" s="5"/>
      <c r="C21" s="6"/>
      <c r="D21" s="36"/>
      <c r="E21" s="6"/>
      <c r="F21" s="37"/>
      <c r="I21" s="27"/>
      <c r="J21" s="59"/>
    </row>
    <row r="22" spans="2:10" ht="30" customHeight="1">
      <c r="B22" s="5"/>
      <c r="C22" s="6"/>
      <c r="D22" s="35"/>
      <c r="E22" s="33"/>
      <c r="F22" s="4"/>
      <c r="I22" s="27"/>
      <c r="J22" s="59"/>
    </row>
    <row r="23" spans="2:10" ht="30" customHeight="1">
      <c r="B23" s="5"/>
      <c r="C23" s="6"/>
      <c r="D23" s="38"/>
      <c r="E23" s="33"/>
      <c r="F23" s="4"/>
      <c r="I23" s="27"/>
      <c r="J23" s="59"/>
    </row>
    <row r="24" spans="2:10" ht="30" customHeight="1">
      <c r="B24" s="5"/>
      <c r="C24" s="6"/>
      <c r="D24" s="36"/>
      <c r="E24" s="33"/>
      <c r="F24" s="31"/>
      <c r="I24" s="27"/>
      <c r="J24" s="59"/>
    </row>
    <row r="25" spans="2:10" ht="30" customHeight="1">
      <c r="B25" s="5"/>
      <c r="C25" s="6"/>
      <c r="D25" s="35"/>
      <c r="E25" s="33"/>
      <c r="F25" s="4"/>
      <c r="I25" s="27"/>
      <c r="J25" s="59"/>
    </row>
    <row r="26" spans="2:10" ht="30" customHeight="1">
      <c r="B26" s="5"/>
      <c r="C26" s="6"/>
      <c r="D26" s="35"/>
      <c r="E26" s="6"/>
      <c r="F26" s="37"/>
      <c r="I26" s="27"/>
      <c r="J26" s="59"/>
    </row>
    <row r="27" spans="2:10" ht="30" customHeight="1">
      <c r="B27" s="32"/>
      <c r="C27" s="6"/>
      <c r="D27" s="35"/>
      <c r="E27" s="33"/>
      <c r="F27" s="37"/>
      <c r="I27" s="27"/>
      <c r="J27" s="59"/>
    </row>
    <row r="28" spans="2:10" ht="30" customHeight="1">
      <c r="B28" s="32"/>
      <c r="C28" s="6"/>
      <c r="D28" s="38"/>
      <c r="E28" s="33"/>
      <c r="F28" s="30"/>
      <c r="I28" s="27"/>
      <c r="J28" s="59"/>
    </row>
    <row r="29" spans="2:10" ht="30" customHeight="1" thickBot="1">
      <c r="B29" s="39"/>
      <c r="C29" s="40"/>
      <c r="D29" s="41"/>
      <c r="E29" s="40"/>
      <c r="F29" s="42"/>
      <c r="I29" s="27"/>
      <c r="J29" s="59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33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58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 t="s">
        <v>89</v>
      </c>
      <c r="D7" s="3" t="s">
        <v>50</v>
      </c>
      <c r="E7" s="6" t="s">
        <v>32</v>
      </c>
      <c r="F7" s="29">
        <f>(2+0.4)*(2+0.4)*0.17*10</f>
        <v>9.792000000000002</v>
      </c>
      <c r="I7" s="27"/>
      <c r="J7" s="28"/>
    </row>
    <row r="8" spans="2:10" ht="30" customHeight="1">
      <c r="B8" s="5" t="s">
        <v>94</v>
      </c>
      <c r="C8" s="6" t="s">
        <v>95</v>
      </c>
      <c r="D8" s="3" t="s">
        <v>57</v>
      </c>
      <c r="E8" s="6" t="s">
        <v>32</v>
      </c>
      <c r="F8" s="29">
        <f>9.8-7.2</f>
        <v>2.6000000000000005</v>
      </c>
      <c r="I8" s="27"/>
      <c r="J8" s="28"/>
    </row>
    <row r="9" spans="2:10" ht="30" customHeight="1">
      <c r="B9" s="5" t="s">
        <v>90</v>
      </c>
      <c r="C9" s="6">
        <v>0</v>
      </c>
      <c r="D9" s="3" t="s">
        <v>51</v>
      </c>
      <c r="E9" s="6" t="s">
        <v>32</v>
      </c>
      <c r="F9" s="4">
        <f>(2.1*2.1*0.1+2*2*0.07)*10</f>
        <v>7.210000000000001</v>
      </c>
      <c r="I9" s="27"/>
      <c r="J9" s="28"/>
    </row>
    <row r="10" spans="2:10" ht="30" customHeight="1">
      <c r="B10" s="5" t="s">
        <v>96</v>
      </c>
      <c r="C10" s="6">
        <v>0</v>
      </c>
      <c r="D10" s="3" t="s">
        <v>52</v>
      </c>
      <c r="E10" s="6" t="s">
        <v>117</v>
      </c>
      <c r="F10" s="4">
        <f>2.1*2.1*10</f>
        <v>44.1</v>
      </c>
      <c r="I10" s="27"/>
      <c r="J10" s="28"/>
    </row>
    <row r="11" spans="2:10" ht="30" customHeight="1">
      <c r="B11" s="5" t="s">
        <v>97</v>
      </c>
      <c r="C11" s="6" t="s">
        <v>98</v>
      </c>
      <c r="D11" s="3" t="s">
        <v>52</v>
      </c>
      <c r="E11" s="6" t="s">
        <v>117</v>
      </c>
      <c r="F11" s="30">
        <f>2.1*2.1*10</f>
        <v>44.1</v>
      </c>
      <c r="I11" s="27"/>
      <c r="J11" s="28"/>
    </row>
    <row r="12" spans="2:10" ht="30" customHeight="1">
      <c r="B12" s="5" t="s">
        <v>91</v>
      </c>
      <c r="C12" s="6">
        <v>0</v>
      </c>
      <c r="D12" s="35" t="s">
        <v>53</v>
      </c>
      <c r="E12" s="6" t="s">
        <v>117</v>
      </c>
      <c r="F12" s="30">
        <f>0.05*2*4*10</f>
        <v>4</v>
      </c>
      <c r="I12" s="27"/>
      <c r="J12" s="28"/>
    </row>
    <row r="13" spans="2:10" ht="30" customHeight="1">
      <c r="B13" s="5" t="s">
        <v>92</v>
      </c>
      <c r="C13" s="6" t="s">
        <v>93</v>
      </c>
      <c r="D13" s="35" t="s">
        <v>54</v>
      </c>
      <c r="E13" s="6" t="s">
        <v>32</v>
      </c>
      <c r="F13" s="30">
        <f>2*2*0.05*10</f>
        <v>2</v>
      </c>
      <c r="I13" s="27"/>
      <c r="J13" s="28"/>
    </row>
    <row r="14" spans="2:10" ht="30" customHeight="1">
      <c r="B14" s="5" t="s">
        <v>109</v>
      </c>
      <c r="C14" s="6" t="s">
        <v>106</v>
      </c>
      <c r="D14" s="34" t="s">
        <v>55</v>
      </c>
      <c r="E14" s="6" t="s">
        <v>117</v>
      </c>
      <c r="F14" s="30">
        <f>4*10</f>
        <v>40</v>
      </c>
      <c r="I14" s="27"/>
      <c r="J14" s="28"/>
    </row>
    <row r="15" spans="2:10" ht="30" customHeight="1">
      <c r="B15" s="5">
        <v>0</v>
      </c>
      <c r="C15" s="6" t="s">
        <v>110</v>
      </c>
      <c r="D15" s="47"/>
      <c r="E15" s="6">
        <v>0</v>
      </c>
      <c r="F15" s="55"/>
      <c r="I15" s="27"/>
      <c r="J15" s="28"/>
    </row>
    <row r="16" spans="2:10" ht="30" customHeight="1">
      <c r="B16" s="5">
        <v>0</v>
      </c>
      <c r="C16" s="6">
        <v>0</v>
      </c>
      <c r="D16" s="49" t="s">
        <v>56</v>
      </c>
      <c r="E16" s="6" t="s">
        <v>121</v>
      </c>
      <c r="F16" s="60">
        <f>2*10</f>
        <v>20</v>
      </c>
      <c r="I16" s="27"/>
      <c r="J16" s="28"/>
    </row>
    <row r="17" spans="2:10" ht="30" customHeight="1">
      <c r="B17" s="5"/>
      <c r="C17" s="6"/>
      <c r="D17" s="36"/>
      <c r="E17" s="6"/>
      <c r="F17" s="51"/>
      <c r="I17" s="27"/>
      <c r="J17" s="28"/>
    </row>
    <row r="18" spans="2:10" ht="30" customHeight="1">
      <c r="B18" s="5"/>
      <c r="C18" s="6"/>
      <c r="D18" s="36"/>
      <c r="E18" s="6"/>
      <c r="F18" s="51"/>
      <c r="I18" s="27"/>
      <c r="J18" s="28"/>
    </row>
    <row r="19" spans="2:10" ht="30" customHeight="1">
      <c r="B19" s="5"/>
      <c r="C19" s="6"/>
      <c r="D19" s="36"/>
      <c r="E19" s="6"/>
      <c r="F19" s="52"/>
      <c r="I19" s="27"/>
      <c r="J19" s="28"/>
    </row>
    <row r="20" spans="2:10" ht="30" customHeight="1">
      <c r="B20" s="5"/>
      <c r="C20" s="6"/>
      <c r="D20" s="36"/>
      <c r="E20" s="6"/>
      <c r="F20" s="53"/>
      <c r="I20" s="27"/>
      <c r="J20" s="28"/>
    </row>
    <row r="21" spans="2:10" ht="30" customHeight="1">
      <c r="B21" s="5"/>
      <c r="C21" s="6"/>
      <c r="D21" s="36"/>
      <c r="E21" s="6"/>
      <c r="F21" s="37"/>
      <c r="I21" s="27"/>
      <c r="J21" s="28"/>
    </row>
    <row r="22" spans="2:10" ht="30" customHeight="1">
      <c r="B22" s="5"/>
      <c r="C22" s="6"/>
      <c r="D22" s="35"/>
      <c r="E22" s="33"/>
      <c r="F22" s="4"/>
      <c r="I22" s="27"/>
      <c r="J22" s="28"/>
    </row>
    <row r="23" spans="2:10" ht="30" customHeight="1">
      <c r="B23" s="5"/>
      <c r="C23" s="6"/>
      <c r="D23" s="38"/>
      <c r="E23" s="33"/>
      <c r="F23" s="4"/>
      <c r="I23" s="27"/>
      <c r="J23" s="28"/>
    </row>
    <row r="24" spans="2:10" ht="30" customHeight="1">
      <c r="B24" s="5"/>
      <c r="C24" s="6"/>
      <c r="D24" s="36"/>
      <c r="E24" s="33"/>
      <c r="F24" s="31"/>
      <c r="I24" s="27"/>
      <c r="J24" s="28"/>
    </row>
    <row r="25" spans="2:10" ht="30" customHeight="1">
      <c r="B25" s="5"/>
      <c r="C25" s="6"/>
      <c r="D25" s="35"/>
      <c r="E25" s="33"/>
      <c r="F25" s="4"/>
      <c r="I25" s="27"/>
      <c r="J25" s="28"/>
    </row>
    <row r="26" spans="2:10" ht="30" customHeight="1">
      <c r="B26" s="5"/>
      <c r="C26" s="6"/>
      <c r="D26" s="35"/>
      <c r="E26" s="6"/>
      <c r="F26" s="37"/>
      <c r="I26" s="27"/>
      <c r="J26" s="28"/>
    </row>
    <row r="27" spans="2:10" ht="30" customHeight="1">
      <c r="B27" s="32"/>
      <c r="C27" s="6"/>
      <c r="D27" s="35"/>
      <c r="E27" s="33"/>
      <c r="F27" s="37"/>
      <c r="I27" s="27"/>
      <c r="J27" s="28"/>
    </row>
    <row r="28" spans="2:10" ht="30" customHeight="1">
      <c r="B28" s="32"/>
      <c r="C28" s="6"/>
      <c r="D28" s="38"/>
      <c r="E28" s="33"/>
      <c r="F28" s="30"/>
      <c r="I28" s="27"/>
      <c r="J28" s="28"/>
    </row>
    <row r="29" spans="2:10" ht="30" customHeight="1" thickBot="1">
      <c r="B29" s="39"/>
      <c r="C29" s="40"/>
      <c r="D29" s="41"/>
      <c r="E29" s="40"/>
      <c r="F29" s="42"/>
      <c r="I29" s="27"/>
      <c r="J29" s="28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81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15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37</v>
      </c>
      <c r="E7" s="6"/>
      <c r="F7" s="61">
        <f>(0.6+1)*(0.6+1)*0.9*10</f>
        <v>23.040000000000006</v>
      </c>
      <c r="I7" s="27"/>
      <c r="J7" s="59"/>
    </row>
    <row r="8" spans="2:10" ht="30" customHeight="1">
      <c r="B8" s="5"/>
      <c r="C8" s="6">
        <v>0</v>
      </c>
      <c r="D8" s="3" t="s">
        <v>38</v>
      </c>
      <c r="E8" s="6"/>
      <c r="F8" s="61">
        <f>(0.3+0.4)*(0.7+0.4)*0.5*10</f>
        <v>3.85</v>
      </c>
      <c r="I8" s="27"/>
      <c r="J8" s="59"/>
    </row>
    <row r="9" spans="2:10" ht="30" customHeight="1">
      <c r="B9" s="5"/>
      <c r="C9" s="6">
        <v>0</v>
      </c>
      <c r="D9" s="3" t="s">
        <v>39</v>
      </c>
      <c r="E9" s="6"/>
      <c r="F9" s="62">
        <f>(0.4+0.4)*(0.7+0.4)*0.5*10</f>
        <v>4.4</v>
      </c>
      <c r="I9" s="27"/>
      <c r="J9" s="59"/>
    </row>
    <row r="10" spans="2:10" ht="30" customHeight="1">
      <c r="B10" s="5"/>
      <c r="C10" s="6">
        <v>0</v>
      </c>
      <c r="D10" s="3" t="s">
        <v>40</v>
      </c>
      <c r="E10" s="6" t="s">
        <v>32</v>
      </c>
      <c r="F10" s="29">
        <f>23.04+3.85+4.4</f>
        <v>31.29</v>
      </c>
      <c r="I10" s="27"/>
      <c r="J10" s="59"/>
    </row>
    <row r="11" spans="2:10" ht="30" customHeight="1">
      <c r="B11" s="5" t="s">
        <v>94</v>
      </c>
      <c r="C11" s="6" t="s">
        <v>95</v>
      </c>
      <c r="D11" s="3" t="s">
        <v>41</v>
      </c>
      <c r="E11" s="6" t="s">
        <v>32</v>
      </c>
      <c r="F11" s="29">
        <f>31.3-5.5</f>
        <v>25.8</v>
      </c>
      <c r="I11" s="27"/>
      <c r="J11" s="59"/>
    </row>
    <row r="12" spans="2:10" ht="30" customHeight="1">
      <c r="B12" s="5" t="s">
        <v>90</v>
      </c>
      <c r="C12" s="6">
        <v>0</v>
      </c>
      <c r="D12" s="3" t="s">
        <v>18</v>
      </c>
      <c r="E12" s="6"/>
      <c r="F12" s="62">
        <f>(0.4*0.8*0.1+0.3*0.7*0.3+((0.25+0.15)*1/4)*((0.25+0.15)*1/4)*3.14*0.05)*10</f>
        <v>0.9657</v>
      </c>
      <c r="I12" s="27"/>
      <c r="J12" s="59"/>
    </row>
    <row r="13" spans="2:10" ht="30" customHeight="1">
      <c r="B13" s="5"/>
      <c r="C13" s="6">
        <v>0</v>
      </c>
      <c r="D13" s="3" t="s">
        <v>19</v>
      </c>
      <c r="E13" s="6"/>
      <c r="F13" s="61">
        <f>(0.7*0.7*0.1+0.6*0.6*0.75+((0.302+0.202)*1/4)*((0.302+0.202)*1/4)*3.14*0.05)*10</f>
        <v>3.21492532</v>
      </c>
      <c r="I13" s="27"/>
      <c r="J13" s="59"/>
    </row>
    <row r="14" spans="2:10" ht="30" customHeight="1">
      <c r="B14" s="5"/>
      <c r="C14" s="6"/>
      <c r="D14" s="34" t="s">
        <v>20</v>
      </c>
      <c r="E14" s="6"/>
      <c r="F14" s="61">
        <f>(0.5*0.8*0.1+0.4*0.7*0.3+(0.3*0.7+0.57*0.17)*1/2*0.05)*10</f>
        <v>1.316725</v>
      </c>
      <c r="I14" s="27"/>
      <c r="J14" s="59"/>
    </row>
    <row r="15" spans="2:10" ht="30" customHeight="1">
      <c r="B15" s="5"/>
      <c r="C15" s="6">
        <v>0</v>
      </c>
      <c r="D15" s="35" t="s">
        <v>21</v>
      </c>
      <c r="E15" s="6" t="s">
        <v>117</v>
      </c>
      <c r="F15" s="29">
        <f>0.966+3.215+1.317</f>
        <v>5.498</v>
      </c>
      <c r="I15" s="27"/>
      <c r="J15" s="59"/>
    </row>
    <row r="16" spans="2:10" ht="30" customHeight="1">
      <c r="B16" s="5" t="s">
        <v>96</v>
      </c>
      <c r="C16" s="6">
        <v>0</v>
      </c>
      <c r="D16" s="35" t="s">
        <v>22</v>
      </c>
      <c r="E16" s="6" t="s">
        <v>117</v>
      </c>
      <c r="F16" s="29">
        <f>(0.4*0.8+0.7*0.7+0.5*0.8)*10</f>
        <v>12.1</v>
      </c>
      <c r="I16" s="27"/>
      <c r="J16" s="59"/>
    </row>
    <row r="17" spans="2:10" ht="30" customHeight="1">
      <c r="B17" s="5" t="s">
        <v>97</v>
      </c>
      <c r="C17" s="6" t="s">
        <v>98</v>
      </c>
      <c r="D17" s="34" t="s">
        <v>22</v>
      </c>
      <c r="E17" s="6" t="s">
        <v>117</v>
      </c>
      <c r="F17" s="54">
        <f>(0.4*0.8+0.7*0.7+0.5*0.8)*10</f>
        <v>12.1</v>
      </c>
      <c r="I17" s="27"/>
      <c r="J17" s="59"/>
    </row>
    <row r="18" spans="2:10" ht="30" customHeight="1">
      <c r="B18" s="5" t="s">
        <v>91</v>
      </c>
      <c r="C18" s="6">
        <v>0</v>
      </c>
      <c r="D18" s="47" t="s">
        <v>23</v>
      </c>
      <c r="E18" s="6" t="s">
        <v>117</v>
      </c>
      <c r="F18" s="54">
        <f>((0.3+0.7)*0.3*2+0.6*0.7*4+(0.4+0.7)*0.3*2)*10</f>
        <v>29.4</v>
      </c>
      <c r="I18" s="27"/>
      <c r="J18" s="59"/>
    </row>
    <row r="19" spans="2:10" ht="30" customHeight="1">
      <c r="B19" s="5" t="s">
        <v>92</v>
      </c>
      <c r="C19" s="6" t="s">
        <v>93</v>
      </c>
      <c r="D19" s="49" t="s">
        <v>24</v>
      </c>
      <c r="E19" s="6" t="s">
        <v>32</v>
      </c>
      <c r="F19" s="54">
        <f>(0.3*0.7*0.3+0.6*0.6*0.7+0.4*0.7*0.3)*10</f>
        <v>3.99</v>
      </c>
      <c r="I19" s="27"/>
      <c r="J19" s="59"/>
    </row>
    <row r="20" spans="2:10" ht="30" customHeight="1">
      <c r="B20" s="5" t="s">
        <v>107</v>
      </c>
      <c r="C20" s="6" t="s">
        <v>101</v>
      </c>
      <c r="D20" s="36">
        <v>10</v>
      </c>
      <c r="E20" s="6" t="s">
        <v>119</v>
      </c>
      <c r="F20" s="58">
        <v>10</v>
      </c>
      <c r="I20" s="27"/>
      <c r="J20" s="59"/>
    </row>
    <row r="21" spans="2:10" ht="30" customHeight="1">
      <c r="B21" s="5" t="s">
        <v>102</v>
      </c>
      <c r="C21" s="6">
        <v>0</v>
      </c>
      <c r="D21" s="36">
        <v>1</v>
      </c>
      <c r="E21" s="6" t="s">
        <v>120</v>
      </c>
      <c r="F21" s="58">
        <v>1</v>
      </c>
      <c r="I21" s="27"/>
      <c r="J21" s="59"/>
    </row>
    <row r="22" spans="2:10" ht="30" customHeight="1">
      <c r="B22" s="5" t="s">
        <v>103</v>
      </c>
      <c r="C22" s="6">
        <v>0</v>
      </c>
      <c r="D22" s="36">
        <v>10</v>
      </c>
      <c r="E22" s="6" t="s">
        <v>121</v>
      </c>
      <c r="F22" s="58">
        <v>10</v>
      </c>
      <c r="I22" s="27"/>
      <c r="J22" s="59"/>
    </row>
    <row r="23" spans="2:10" ht="30" customHeight="1">
      <c r="B23" s="5" t="s">
        <v>108</v>
      </c>
      <c r="C23" s="6">
        <v>0</v>
      </c>
      <c r="D23" s="36">
        <v>10</v>
      </c>
      <c r="E23" s="33" t="s">
        <v>121</v>
      </c>
      <c r="F23" s="64">
        <v>10</v>
      </c>
      <c r="I23" s="27"/>
      <c r="J23" s="59"/>
    </row>
    <row r="24" spans="2:10" ht="30" customHeight="1">
      <c r="B24" s="5"/>
      <c r="C24" s="6"/>
      <c r="D24" s="36"/>
      <c r="E24" s="6"/>
      <c r="F24" s="56"/>
      <c r="I24" s="27"/>
      <c r="J24" s="59"/>
    </row>
    <row r="25" spans="2:10" ht="30" customHeight="1">
      <c r="B25" s="5"/>
      <c r="C25" s="6"/>
      <c r="D25" s="36"/>
      <c r="E25" s="6"/>
      <c r="F25" s="63"/>
      <c r="I25" s="27"/>
      <c r="J25" s="59"/>
    </row>
    <row r="26" spans="2:10" ht="30" customHeight="1">
      <c r="B26" s="5"/>
      <c r="C26" s="6"/>
      <c r="D26" s="49"/>
      <c r="E26" s="6"/>
      <c r="F26" s="61"/>
      <c r="I26" s="27"/>
      <c r="J26" s="59"/>
    </row>
    <row r="27" spans="2:10" ht="30" customHeight="1">
      <c r="B27" s="5"/>
      <c r="C27" s="6"/>
      <c r="D27" s="36"/>
      <c r="E27" s="6"/>
      <c r="F27" s="57"/>
      <c r="I27" s="27"/>
      <c r="J27" s="59"/>
    </row>
    <row r="28" spans="2:10" ht="30" customHeight="1">
      <c r="B28" s="32"/>
      <c r="C28" s="6"/>
      <c r="D28" s="38"/>
      <c r="E28" s="33"/>
      <c r="F28" s="30"/>
      <c r="I28" s="27"/>
      <c r="J28" s="59"/>
    </row>
    <row r="29" spans="2:10" ht="30" customHeight="1" thickBot="1">
      <c r="B29" s="39"/>
      <c r="C29" s="40"/>
      <c r="D29" s="41"/>
      <c r="E29" s="40"/>
      <c r="F29" s="42"/>
      <c r="I29" s="27"/>
      <c r="J29" s="59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3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67" t="s">
        <v>8</v>
      </c>
    </row>
    <row r="2" spans="2:6" ht="27.75" customHeight="1">
      <c r="B2" s="68" t="s">
        <v>14</v>
      </c>
      <c r="C2" s="69"/>
      <c r="D2" s="69"/>
      <c r="E2" s="69"/>
      <c r="F2" s="70"/>
    </row>
    <row r="3" spans="1:6" ht="22.5" customHeight="1">
      <c r="A3" s="71"/>
      <c r="B3" s="72" t="s">
        <v>156</v>
      </c>
      <c r="C3" s="73"/>
      <c r="D3" s="74"/>
      <c r="E3" s="75"/>
      <c r="F3" s="76"/>
    </row>
    <row r="4" spans="2:6" ht="1.5" customHeight="1">
      <c r="B4" s="77"/>
      <c r="C4" s="78"/>
      <c r="D4" s="78"/>
      <c r="E4" s="78"/>
      <c r="F4" s="79"/>
    </row>
    <row r="5" spans="2:6" ht="25.5" customHeight="1">
      <c r="B5" s="80"/>
      <c r="C5" s="81"/>
      <c r="D5" s="81"/>
      <c r="E5" s="7">
        <v>10</v>
      </c>
      <c r="F5" s="8" t="s">
        <v>123</v>
      </c>
    </row>
    <row r="6" spans="2:10" ht="20.25" customHeight="1">
      <c r="B6" s="82" t="s">
        <v>9</v>
      </c>
      <c r="C6" s="83" t="s">
        <v>10</v>
      </c>
      <c r="D6" s="83" t="s">
        <v>13</v>
      </c>
      <c r="E6" s="83" t="s">
        <v>11</v>
      </c>
      <c r="F6" s="84" t="s">
        <v>12</v>
      </c>
      <c r="I6" s="85"/>
      <c r="J6" s="85"/>
    </row>
    <row r="7" spans="2:6" ht="1.5" customHeight="1">
      <c r="B7" s="86"/>
      <c r="C7" s="87"/>
      <c r="D7" s="87"/>
      <c r="E7" s="87"/>
      <c r="F7" s="88"/>
    </row>
    <row r="8" spans="2:10" ht="30" customHeight="1">
      <c r="B8" s="5" t="s">
        <v>88</v>
      </c>
      <c r="C8" s="6"/>
      <c r="D8" s="3" t="s">
        <v>124</v>
      </c>
      <c r="E8" s="6"/>
      <c r="F8" s="89">
        <f>(0.4+0.4)*(0.7+0.4)*0.5*10</f>
        <v>4.4</v>
      </c>
      <c r="I8" s="90"/>
      <c r="J8" s="91"/>
    </row>
    <row r="9" spans="2:10" ht="30" customHeight="1">
      <c r="B9" s="5"/>
      <c r="C9" s="6"/>
      <c r="D9" s="3" t="s">
        <v>125</v>
      </c>
      <c r="E9" s="6"/>
      <c r="F9" s="89">
        <f>(0.6+0.4)*(0.6+0.4)*0.9*10</f>
        <v>9</v>
      </c>
      <c r="I9" s="90"/>
      <c r="J9" s="91"/>
    </row>
    <row r="10" spans="2:10" ht="30" customHeight="1">
      <c r="B10" s="5"/>
      <c r="C10" s="6"/>
      <c r="D10" s="3" t="s">
        <v>126</v>
      </c>
      <c r="E10" s="6"/>
      <c r="F10" s="89">
        <f>(0.3+0.4)*(0.7+0.4)*0.5*10</f>
        <v>3.85</v>
      </c>
      <c r="I10" s="90"/>
      <c r="J10" s="91"/>
    </row>
    <row r="11" spans="2:10" ht="30" customHeight="1">
      <c r="B11" s="5"/>
      <c r="C11" s="6"/>
      <c r="D11" s="3" t="s">
        <v>127</v>
      </c>
      <c r="E11" s="6" t="s">
        <v>32</v>
      </c>
      <c r="F11" s="29">
        <f>4.4+9+3.85</f>
        <v>17.25</v>
      </c>
      <c r="I11" s="90"/>
      <c r="J11" s="91"/>
    </row>
    <row r="12" spans="2:10" ht="30" customHeight="1">
      <c r="B12" s="5" t="s">
        <v>94</v>
      </c>
      <c r="C12" s="6"/>
      <c r="D12" s="3" t="s">
        <v>128</v>
      </c>
      <c r="E12" s="6" t="s">
        <v>32</v>
      </c>
      <c r="F12" s="29">
        <f>17.3-5.2</f>
        <v>12.100000000000001</v>
      </c>
      <c r="I12" s="90"/>
      <c r="J12" s="91"/>
    </row>
    <row r="13" spans="2:10" ht="30" customHeight="1">
      <c r="B13" s="5" t="s">
        <v>90</v>
      </c>
      <c r="C13" s="6"/>
      <c r="D13" s="3" t="s">
        <v>129</v>
      </c>
      <c r="E13" s="6"/>
      <c r="F13" s="92">
        <f>(0.5*0.8*0.1+0.4*0.7*0.3+0.009*0.009*3.14*0.1)*10</f>
        <v>1.2402543400000001</v>
      </c>
      <c r="I13" s="90"/>
      <c r="J13" s="91"/>
    </row>
    <row r="14" spans="2:10" ht="30" customHeight="1">
      <c r="B14" s="5"/>
      <c r="C14" s="6"/>
      <c r="D14" s="3" t="s">
        <v>130</v>
      </c>
      <c r="E14" s="6"/>
      <c r="F14" s="92">
        <f>(0.7*0.7*0.1+0.6*0.6*0.7+0.00508*0.0508*3.14*0.1)*10</f>
        <v>3.01081032096</v>
      </c>
      <c r="I14" s="90"/>
      <c r="J14" s="91"/>
    </row>
    <row r="15" spans="2:10" ht="30" customHeight="1">
      <c r="B15" s="5"/>
      <c r="C15" s="6"/>
      <c r="D15" s="93" t="s">
        <v>131</v>
      </c>
      <c r="E15" s="6"/>
      <c r="F15" s="92">
        <f>(0.4*0.8*0.1+0.3*0.7*0.3+0.02135*0.02135*3.14*0.1)*10</f>
        <v>0.95143128265</v>
      </c>
      <c r="I15" s="90"/>
      <c r="J15" s="91"/>
    </row>
    <row r="16" spans="2:10" ht="30" customHeight="1">
      <c r="B16" s="5"/>
      <c r="C16" s="6"/>
      <c r="D16" s="35" t="s">
        <v>132</v>
      </c>
      <c r="E16" s="6" t="s">
        <v>117</v>
      </c>
      <c r="F16" s="29">
        <f>1.24+3.01+0.95</f>
        <v>5.2</v>
      </c>
      <c r="I16" s="90"/>
      <c r="J16" s="91"/>
    </row>
    <row r="17" spans="2:10" ht="30" customHeight="1">
      <c r="B17" s="5" t="s">
        <v>96</v>
      </c>
      <c r="C17" s="6"/>
      <c r="D17" s="35" t="s">
        <v>133</v>
      </c>
      <c r="E17" s="6" t="s">
        <v>117</v>
      </c>
      <c r="F17" s="29">
        <f>(0.5*0.8+0.7*0.7+0.4*0.8)*10</f>
        <v>12.1</v>
      </c>
      <c r="I17" s="90"/>
      <c r="J17" s="91"/>
    </row>
    <row r="18" spans="2:10" ht="30" customHeight="1">
      <c r="B18" s="5" t="s">
        <v>97</v>
      </c>
      <c r="C18" s="6" t="s">
        <v>98</v>
      </c>
      <c r="D18" s="93" t="s">
        <v>133</v>
      </c>
      <c r="E18" s="6" t="s">
        <v>117</v>
      </c>
      <c r="F18" s="54">
        <f>(0.5*0.8+0.7*0.7+0.4*0.8)*10</f>
        <v>12.1</v>
      </c>
      <c r="I18" s="90"/>
      <c r="J18" s="91"/>
    </row>
    <row r="19" spans="2:10" ht="30" customHeight="1">
      <c r="B19" s="5" t="s">
        <v>91</v>
      </c>
      <c r="C19" s="6"/>
      <c r="D19" s="94" t="s">
        <v>134</v>
      </c>
      <c r="E19" s="6" t="s">
        <v>117</v>
      </c>
      <c r="F19" s="54">
        <f>((0.4+0.7)*0.3*2+0.6*0.7*4+(0.3+0.7)*0.3*2)*10</f>
        <v>29.4</v>
      </c>
      <c r="I19" s="90"/>
      <c r="J19" s="91"/>
    </row>
    <row r="20" spans="2:10" ht="30" customHeight="1">
      <c r="B20" s="5" t="s">
        <v>92</v>
      </c>
      <c r="C20" s="6" t="s">
        <v>93</v>
      </c>
      <c r="D20" s="3" t="s">
        <v>135</v>
      </c>
      <c r="E20" s="6" t="s">
        <v>32</v>
      </c>
      <c r="F20" s="54">
        <f>(0.3*0.7*0.3+0.6*0.6*0.7+0.4*0.7*0.3)*10</f>
        <v>3.99</v>
      </c>
      <c r="I20" s="90"/>
      <c r="J20" s="91"/>
    </row>
    <row r="21" spans="2:10" ht="30" customHeight="1">
      <c r="B21" s="5" t="s">
        <v>107</v>
      </c>
      <c r="C21" s="6" t="s">
        <v>101</v>
      </c>
      <c r="D21" s="36">
        <v>10</v>
      </c>
      <c r="E21" s="6" t="s">
        <v>119</v>
      </c>
      <c r="F21" s="58">
        <v>10</v>
      </c>
      <c r="I21" s="90"/>
      <c r="J21" s="91"/>
    </row>
    <row r="22" spans="2:10" ht="30" customHeight="1">
      <c r="B22" s="5" t="s">
        <v>103</v>
      </c>
      <c r="C22" s="6"/>
      <c r="D22" s="36">
        <v>10</v>
      </c>
      <c r="E22" s="6" t="s">
        <v>121</v>
      </c>
      <c r="F22" s="58">
        <v>10</v>
      </c>
      <c r="I22" s="90"/>
      <c r="J22" s="91"/>
    </row>
    <row r="23" spans="2:10" ht="30" customHeight="1">
      <c r="B23" s="5"/>
      <c r="C23" s="6"/>
      <c r="D23" s="36"/>
      <c r="E23" s="6"/>
      <c r="F23" s="58"/>
      <c r="I23" s="90"/>
      <c r="J23" s="91"/>
    </row>
    <row r="24" spans="2:10" ht="30" customHeight="1">
      <c r="B24" s="5"/>
      <c r="C24" s="6"/>
      <c r="D24" s="36"/>
      <c r="E24" s="33"/>
      <c r="F24" s="64"/>
      <c r="I24" s="90"/>
      <c r="J24" s="91"/>
    </row>
    <row r="25" spans="2:10" ht="30" customHeight="1">
      <c r="B25" s="95"/>
      <c r="C25" s="96"/>
      <c r="D25" s="97"/>
      <c r="E25" s="96"/>
      <c r="F25" s="98"/>
      <c r="I25" s="90"/>
      <c r="J25" s="91"/>
    </row>
    <row r="26" spans="2:10" ht="30" customHeight="1">
      <c r="B26" s="95"/>
      <c r="C26" s="96"/>
      <c r="D26" s="97"/>
      <c r="E26" s="96"/>
      <c r="F26" s="98"/>
      <c r="I26" s="90"/>
      <c r="J26" s="91"/>
    </row>
    <row r="27" spans="2:10" ht="30" customHeight="1">
      <c r="B27" s="95"/>
      <c r="C27" s="96"/>
      <c r="D27" s="97"/>
      <c r="E27" s="96"/>
      <c r="F27" s="98"/>
      <c r="I27" s="90"/>
      <c r="J27" s="91"/>
    </row>
    <row r="28" spans="2:10" ht="30" customHeight="1">
      <c r="B28" s="95"/>
      <c r="C28" s="96"/>
      <c r="D28" s="97"/>
      <c r="E28" s="96"/>
      <c r="F28" s="98"/>
      <c r="I28" s="90"/>
      <c r="J28" s="91"/>
    </row>
    <row r="29" spans="2:10" ht="30" customHeight="1">
      <c r="B29" s="95"/>
      <c r="C29" s="96"/>
      <c r="D29" s="99"/>
      <c r="E29" s="96"/>
      <c r="F29" s="100"/>
      <c r="I29" s="90"/>
      <c r="J29" s="91"/>
    </row>
    <row r="30" spans="2:10" ht="30" customHeight="1" thickBot="1">
      <c r="B30" s="101"/>
      <c r="C30" s="102"/>
      <c r="D30" s="103"/>
      <c r="E30" s="102"/>
      <c r="F30" s="104"/>
      <c r="I30" s="90"/>
      <c r="J30" s="91"/>
    </row>
    <row r="32" spans="9:10" ht="13.5">
      <c r="I32" s="85"/>
      <c r="J32" s="105"/>
    </row>
    <row r="33" spans="1:4" ht="13.5">
      <c r="A33" s="75"/>
      <c r="B33" s="75"/>
      <c r="C33" s="75"/>
      <c r="D33" s="75"/>
    </row>
    <row r="34" spans="1:4" ht="13.5">
      <c r="A34" s="75"/>
      <c r="B34" s="106"/>
      <c r="C34" s="106"/>
      <c r="D34" s="75"/>
    </row>
    <row r="35" spans="1:4" ht="13.5">
      <c r="A35" s="75"/>
      <c r="B35" s="106"/>
      <c r="C35" s="106"/>
      <c r="D35" s="75"/>
    </row>
    <row r="36" spans="1:4" ht="13.5">
      <c r="A36" s="75"/>
      <c r="B36" s="106"/>
      <c r="C36" s="106"/>
      <c r="D36" s="75"/>
    </row>
    <row r="37" spans="1:4" ht="13.5">
      <c r="A37" s="75"/>
      <c r="B37" s="106"/>
      <c r="C37" s="106"/>
      <c r="D37" s="75"/>
    </row>
    <row r="38" spans="1:4" ht="13.5">
      <c r="A38" s="75"/>
      <c r="B38" s="106"/>
      <c r="C38" s="106"/>
      <c r="D38" s="75"/>
    </row>
    <row r="39" spans="1:4" ht="13.5">
      <c r="A39" s="75"/>
      <c r="B39" s="106"/>
      <c r="C39" s="106"/>
      <c r="D39" s="75"/>
    </row>
    <row r="40" spans="1:4" ht="13.5">
      <c r="A40" s="75"/>
      <c r="B40" s="106"/>
      <c r="C40" s="106"/>
      <c r="D40" s="75"/>
    </row>
    <row r="41" spans="1:4" ht="13.5">
      <c r="A41" s="75"/>
      <c r="B41" s="106"/>
      <c r="C41" s="106"/>
      <c r="D41" s="75"/>
    </row>
    <row r="42" spans="1:4" ht="13.5">
      <c r="A42" s="75"/>
      <c r="B42" s="106"/>
      <c r="C42" s="107"/>
      <c r="D42" s="75"/>
    </row>
    <row r="43" spans="1:4" ht="13.5">
      <c r="A43" s="75"/>
      <c r="B43" s="108"/>
      <c r="C43" s="106"/>
      <c r="D43" s="75"/>
    </row>
    <row r="44" spans="1:4" ht="13.5">
      <c r="A44" s="75"/>
      <c r="B44" s="106"/>
      <c r="C44" s="107"/>
      <c r="D44" s="75"/>
    </row>
    <row r="45" spans="1:4" ht="13.5">
      <c r="A45" s="75"/>
      <c r="B45" s="75"/>
      <c r="C45" s="75"/>
      <c r="D45" s="75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0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157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58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66" t="s">
        <v>72</v>
      </c>
      <c r="C7" s="6"/>
      <c r="D7" s="36"/>
      <c r="E7" s="6"/>
      <c r="F7" s="51"/>
      <c r="I7" s="27"/>
      <c r="J7" s="28"/>
    </row>
    <row r="8" spans="2:10" ht="30" customHeight="1">
      <c r="B8" s="5" t="s">
        <v>88</v>
      </c>
      <c r="C8" s="6" t="s">
        <v>89</v>
      </c>
      <c r="D8" s="3" t="s">
        <v>65</v>
      </c>
      <c r="E8" s="6" t="s">
        <v>32</v>
      </c>
      <c r="F8" s="29">
        <f>(1+0.4)*(1+0.4)*0.17*10</f>
        <v>3.332</v>
      </c>
      <c r="I8" s="27"/>
      <c r="J8" s="28"/>
    </row>
    <row r="9" spans="2:10" ht="30" customHeight="1">
      <c r="B9" s="5" t="s">
        <v>94</v>
      </c>
      <c r="C9" s="6" t="s">
        <v>95</v>
      </c>
      <c r="D9" s="3" t="s">
        <v>67</v>
      </c>
      <c r="E9" s="6" t="s">
        <v>32</v>
      </c>
      <c r="F9" s="29">
        <f>3.3-1.9</f>
        <v>1.4</v>
      </c>
      <c r="I9" s="27"/>
      <c r="J9" s="28"/>
    </row>
    <row r="10" spans="2:10" ht="30" customHeight="1">
      <c r="B10" s="5" t="s">
        <v>90</v>
      </c>
      <c r="C10" s="6">
        <v>0</v>
      </c>
      <c r="D10" s="3" t="s">
        <v>66</v>
      </c>
      <c r="E10" s="6" t="s">
        <v>32</v>
      </c>
      <c r="F10" s="4">
        <f>(1.1*1.1*0.1+1*1*0.07)*10</f>
        <v>1.9100000000000004</v>
      </c>
      <c r="I10" s="27"/>
      <c r="J10" s="28"/>
    </row>
    <row r="11" spans="2:10" ht="30" customHeight="1">
      <c r="B11" s="5" t="s">
        <v>96</v>
      </c>
      <c r="C11" s="6">
        <v>0</v>
      </c>
      <c r="D11" s="3" t="s">
        <v>68</v>
      </c>
      <c r="E11" s="6" t="s">
        <v>117</v>
      </c>
      <c r="F11" s="4">
        <f>1.1*1.1*10</f>
        <v>12.100000000000001</v>
      </c>
      <c r="I11" s="27"/>
      <c r="J11" s="28"/>
    </row>
    <row r="12" spans="2:10" ht="30" customHeight="1">
      <c r="B12" s="5" t="s">
        <v>97</v>
      </c>
      <c r="C12" s="6" t="s">
        <v>98</v>
      </c>
      <c r="D12" s="3" t="s">
        <v>68</v>
      </c>
      <c r="E12" s="6" t="s">
        <v>117</v>
      </c>
      <c r="F12" s="30">
        <f>1.1*1.1*10</f>
        <v>12.100000000000001</v>
      </c>
      <c r="I12" s="27"/>
      <c r="J12" s="28"/>
    </row>
    <row r="13" spans="2:10" ht="30" customHeight="1">
      <c r="B13" s="5" t="s">
        <v>91</v>
      </c>
      <c r="C13" s="6">
        <v>0</v>
      </c>
      <c r="D13" s="35" t="s">
        <v>69</v>
      </c>
      <c r="E13" s="6" t="s">
        <v>117</v>
      </c>
      <c r="F13" s="30">
        <f>0.05*1*4*10</f>
        <v>2</v>
      </c>
      <c r="I13" s="27"/>
      <c r="J13" s="28"/>
    </row>
    <row r="14" spans="2:10" ht="30" customHeight="1">
      <c r="B14" s="5" t="s">
        <v>92</v>
      </c>
      <c r="C14" s="6" t="s">
        <v>93</v>
      </c>
      <c r="D14" s="35" t="s">
        <v>70</v>
      </c>
      <c r="E14" s="6" t="s">
        <v>32</v>
      </c>
      <c r="F14" s="30">
        <f>1*1*0.05*10</f>
        <v>0.5</v>
      </c>
      <c r="I14" s="27"/>
      <c r="J14" s="28"/>
    </row>
    <row r="15" spans="2:10" ht="30" customHeight="1">
      <c r="B15" s="5" t="s">
        <v>105</v>
      </c>
      <c r="C15" s="6" t="s">
        <v>106</v>
      </c>
      <c r="D15" s="34" t="s">
        <v>71</v>
      </c>
      <c r="E15" s="6" t="s">
        <v>117</v>
      </c>
      <c r="F15" s="30">
        <f>1*1*10</f>
        <v>10</v>
      </c>
      <c r="I15" s="27"/>
      <c r="J15" s="28"/>
    </row>
    <row r="16" spans="2:10" ht="30" customHeight="1">
      <c r="B16" s="5">
        <v>0</v>
      </c>
      <c r="C16" s="6"/>
      <c r="D16" s="47"/>
      <c r="E16" s="6"/>
      <c r="F16" s="55"/>
      <c r="I16" s="27"/>
      <c r="J16" s="28"/>
    </row>
    <row r="17" spans="2:10" ht="30" customHeight="1">
      <c r="B17" s="66" t="s">
        <v>73</v>
      </c>
      <c r="C17" s="6"/>
      <c r="D17" s="36"/>
      <c r="E17" s="6"/>
      <c r="F17" s="51"/>
      <c r="I17" s="27"/>
      <c r="J17" s="28"/>
    </row>
    <row r="18" spans="2:10" ht="30" customHeight="1">
      <c r="B18" s="5" t="s">
        <v>88</v>
      </c>
      <c r="C18" s="6" t="s">
        <v>89</v>
      </c>
      <c r="D18" s="3" t="s">
        <v>74</v>
      </c>
      <c r="E18" s="6" t="s">
        <v>32</v>
      </c>
      <c r="F18" s="29">
        <f>(1+0.4)*(1.5+0.4)*0.17*10</f>
        <v>4.522</v>
      </c>
      <c r="I18" s="27"/>
      <c r="J18" s="28"/>
    </row>
    <row r="19" spans="2:10" ht="30" customHeight="1">
      <c r="B19" s="5" t="s">
        <v>94</v>
      </c>
      <c r="C19" s="6" t="s">
        <v>95</v>
      </c>
      <c r="D19" s="3" t="s">
        <v>76</v>
      </c>
      <c r="E19" s="6" t="s">
        <v>32</v>
      </c>
      <c r="F19" s="29">
        <f>4.5-2.5</f>
        <v>2</v>
      </c>
      <c r="I19" s="27"/>
      <c r="J19" s="28"/>
    </row>
    <row r="20" spans="2:10" ht="30" customHeight="1">
      <c r="B20" s="5" t="s">
        <v>90</v>
      </c>
      <c r="C20" s="6">
        <v>0</v>
      </c>
      <c r="D20" s="3" t="s">
        <v>75</v>
      </c>
      <c r="E20" s="6" t="s">
        <v>32</v>
      </c>
      <c r="F20" s="4">
        <f>(1.1*1.6*0.1+1*1*0.07)*10</f>
        <v>2.4600000000000004</v>
      </c>
      <c r="I20" s="27"/>
      <c r="J20" s="28"/>
    </row>
    <row r="21" spans="2:10" ht="30" customHeight="1">
      <c r="B21" s="5" t="s">
        <v>96</v>
      </c>
      <c r="C21" s="6">
        <v>0</v>
      </c>
      <c r="D21" s="3" t="s">
        <v>77</v>
      </c>
      <c r="E21" s="6" t="s">
        <v>117</v>
      </c>
      <c r="F21" s="4">
        <f>1.1*1.6*10</f>
        <v>17.6</v>
      </c>
      <c r="I21" s="27"/>
      <c r="J21" s="28"/>
    </row>
    <row r="22" spans="2:10" ht="30" customHeight="1">
      <c r="B22" s="5" t="s">
        <v>97</v>
      </c>
      <c r="C22" s="6" t="s">
        <v>98</v>
      </c>
      <c r="D22" s="3" t="s">
        <v>77</v>
      </c>
      <c r="E22" s="6" t="s">
        <v>117</v>
      </c>
      <c r="F22" s="30">
        <f>1.1*1.6*10</f>
        <v>17.6</v>
      </c>
      <c r="I22" s="27"/>
      <c r="J22" s="28"/>
    </row>
    <row r="23" spans="2:10" ht="30" customHeight="1">
      <c r="B23" s="5" t="s">
        <v>91</v>
      </c>
      <c r="C23" s="6">
        <v>0</v>
      </c>
      <c r="D23" s="35" t="s">
        <v>78</v>
      </c>
      <c r="E23" s="6" t="s">
        <v>117</v>
      </c>
      <c r="F23" s="30">
        <f>0.05*(1+1.5)*2*10</f>
        <v>2.5</v>
      </c>
      <c r="I23" s="27"/>
      <c r="J23" s="28"/>
    </row>
    <row r="24" spans="2:10" ht="30" customHeight="1">
      <c r="B24" s="5" t="s">
        <v>92</v>
      </c>
      <c r="C24" s="6" t="s">
        <v>93</v>
      </c>
      <c r="D24" s="35" t="s">
        <v>79</v>
      </c>
      <c r="E24" s="6" t="s">
        <v>32</v>
      </c>
      <c r="F24" s="30">
        <f>1*1.5*0.05*10</f>
        <v>0.7500000000000001</v>
      </c>
      <c r="I24" s="27"/>
      <c r="J24" s="28"/>
    </row>
    <row r="25" spans="2:10" ht="30" customHeight="1">
      <c r="B25" s="5" t="s">
        <v>105</v>
      </c>
      <c r="C25" s="6" t="s">
        <v>106</v>
      </c>
      <c r="D25" s="34" t="s">
        <v>80</v>
      </c>
      <c r="E25" s="6" t="s">
        <v>117</v>
      </c>
      <c r="F25" s="30">
        <f>1*1.5*10</f>
        <v>15</v>
      </c>
      <c r="I25" s="27"/>
      <c r="J25" s="28"/>
    </row>
    <row r="26" spans="2:10" ht="30" customHeight="1">
      <c r="B26" s="5"/>
      <c r="C26" s="6"/>
      <c r="D26" s="35"/>
      <c r="E26" s="6"/>
      <c r="F26" s="37"/>
      <c r="I26" s="27"/>
      <c r="J26" s="28"/>
    </row>
    <row r="27" spans="2:10" ht="30" customHeight="1">
      <c r="B27" s="32"/>
      <c r="C27" s="6"/>
      <c r="D27" s="35"/>
      <c r="E27" s="33"/>
      <c r="F27" s="37"/>
      <c r="I27" s="27"/>
      <c r="J27" s="28"/>
    </row>
    <row r="28" spans="2:10" ht="30" customHeight="1">
      <c r="B28" s="32"/>
      <c r="C28" s="6"/>
      <c r="D28" s="38"/>
      <c r="E28" s="33"/>
      <c r="F28" s="30"/>
      <c r="I28" s="27"/>
      <c r="J28" s="28"/>
    </row>
    <row r="29" spans="2:10" ht="30" customHeight="1" thickBot="1">
      <c r="B29" s="39"/>
      <c r="C29" s="40"/>
      <c r="D29" s="41"/>
      <c r="E29" s="40"/>
      <c r="F29" s="42"/>
      <c r="I29" s="27"/>
      <c r="J29" s="28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15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25</v>
      </c>
      <c r="E7" s="6" t="s">
        <v>32</v>
      </c>
      <c r="F7" s="4">
        <f>((0.4+0.4)*(0.4+0.4)*0.65*2+(0.35+0.4)*(0.35+0.4)*0.55)*10</f>
        <v>11.413750000000002</v>
      </c>
      <c r="I7" s="27"/>
      <c r="J7" s="59"/>
    </row>
    <row r="8" spans="2:10" ht="30" customHeight="1">
      <c r="B8" s="5" t="s">
        <v>94</v>
      </c>
      <c r="C8" s="6" t="s">
        <v>95</v>
      </c>
      <c r="D8" s="3" t="s">
        <v>26</v>
      </c>
      <c r="E8" s="6" t="s">
        <v>32</v>
      </c>
      <c r="F8" s="54">
        <f>11.4-2.84</f>
        <v>8.56</v>
      </c>
      <c r="I8" s="27"/>
      <c r="J8" s="59"/>
    </row>
    <row r="9" spans="2:10" ht="30" customHeight="1">
      <c r="B9" s="5" t="s">
        <v>90</v>
      </c>
      <c r="C9" s="6">
        <v>0</v>
      </c>
      <c r="D9" s="3" t="s">
        <v>16</v>
      </c>
      <c r="E9" s="6" t="s">
        <v>32</v>
      </c>
      <c r="F9" s="56">
        <f>(0.5*0.5*0.1+0.4*0.4*0.5+((0.26+0.16)*1/2)*((0.26+0.16)*1/2)*3.14*1/4*0.05)*2*10</f>
        <v>2.1346185</v>
      </c>
      <c r="I9" s="27"/>
      <c r="J9" s="59"/>
    </row>
    <row r="10" spans="2:10" ht="30" customHeight="1">
      <c r="B10" s="5"/>
      <c r="C10" s="6">
        <v>0</v>
      </c>
      <c r="D10" s="3" t="s">
        <v>17</v>
      </c>
      <c r="E10" s="6" t="s">
        <v>32</v>
      </c>
      <c r="F10" s="56">
        <f>(0.45*0.45*0.1+0.35*0.35*0.4+((0.26+0.16)*1/2)*((0.26+0.16)*1/2)*3.14*1/4*0.05)*10</f>
        <v>0.70980925</v>
      </c>
      <c r="I10" s="27"/>
      <c r="J10" s="59"/>
    </row>
    <row r="11" spans="2:10" ht="30" customHeight="1">
      <c r="B11" s="5"/>
      <c r="C11" s="6">
        <v>0</v>
      </c>
      <c r="D11" s="34" t="s">
        <v>27</v>
      </c>
      <c r="E11" s="6" t="s">
        <v>32</v>
      </c>
      <c r="F11" s="4">
        <f>2.134+0.709</f>
        <v>2.843</v>
      </c>
      <c r="I11" s="27"/>
      <c r="J11" s="59"/>
    </row>
    <row r="12" spans="2:10" ht="30" customHeight="1">
      <c r="B12" s="5" t="s">
        <v>96</v>
      </c>
      <c r="C12" s="6">
        <v>0</v>
      </c>
      <c r="D12" s="35" t="s">
        <v>28</v>
      </c>
      <c r="E12" s="6" t="s">
        <v>117</v>
      </c>
      <c r="F12" s="4">
        <f>(0.5*0.5*2+0.45*0.45)*10</f>
        <v>7.025</v>
      </c>
      <c r="I12" s="27"/>
      <c r="J12" s="59"/>
    </row>
    <row r="13" spans="2:10" ht="30" customHeight="1">
      <c r="B13" s="5" t="s">
        <v>97</v>
      </c>
      <c r="C13" s="6" t="s">
        <v>98</v>
      </c>
      <c r="D13" s="35" t="s">
        <v>28</v>
      </c>
      <c r="E13" s="6" t="s">
        <v>117</v>
      </c>
      <c r="F13" s="30">
        <f>(0.5*0.5*2+0.45*0.45)*10</f>
        <v>7.025</v>
      </c>
      <c r="I13" s="27"/>
      <c r="J13" s="59"/>
    </row>
    <row r="14" spans="2:10" ht="30" customHeight="1">
      <c r="B14" s="5" t="s">
        <v>91</v>
      </c>
      <c r="C14" s="6">
        <v>0</v>
      </c>
      <c r="D14" s="34" t="s">
        <v>29</v>
      </c>
      <c r="E14" s="6" t="s">
        <v>117</v>
      </c>
      <c r="F14" s="30">
        <f>(0.4*0.5*4*2+0.35*0.4*4)*10</f>
        <v>21.6</v>
      </c>
      <c r="I14" s="27"/>
      <c r="J14" s="59"/>
    </row>
    <row r="15" spans="2:10" ht="39" customHeight="1">
      <c r="B15" s="5" t="s">
        <v>92</v>
      </c>
      <c r="C15" s="6" t="s">
        <v>93</v>
      </c>
      <c r="D15" s="47" t="s">
        <v>5</v>
      </c>
      <c r="E15" s="6" t="s">
        <v>32</v>
      </c>
      <c r="F15" s="30">
        <f>((0.4*0.4*0.5-0.0605*0.0605*3.14/4*0.5)*2+(0.35*0.35*0.4-0.0605*0.0605*3.14/4*0.4))*10</f>
        <v>2.0497738525000004</v>
      </c>
      <c r="I15" s="27"/>
      <c r="J15" s="59"/>
    </row>
    <row r="16" spans="2:10" ht="30" customHeight="1">
      <c r="B16" s="5"/>
      <c r="C16" s="6"/>
      <c r="D16" s="49"/>
      <c r="E16" s="6"/>
      <c r="F16" s="48"/>
      <c r="I16" s="27"/>
      <c r="J16" s="59"/>
    </row>
    <row r="17" spans="2:10" ht="30" customHeight="1">
      <c r="B17" s="5" t="s">
        <v>104</v>
      </c>
      <c r="C17" s="6" t="s">
        <v>101</v>
      </c>
      <c r="D17" s="36">
        <v>10</v>
      </c>
      <c r="E17" s="6" t="s">
        <v>119</v>
      </c>
      <c r="F17" s="60">
        <f>10</f>
        <v>10</v>
      </c>
      <c r="I17" s="27"/>
      <c r="J17" s="59"/>
    </row>
    <row r="18" spans="2:10" ht="30" customHeight="1">
      <c r="B18" s="5" t="s">
        <v>102</v>
      </c>
      <c r="C18" s="6">
        <v>0</v>
      </c>
      <c r="D18" s="36">
        <v>1</v>
      </c>
      <c r="E18" s="6" t="s">
        <v>120</v>
      </c>
      <c r="F18" s="60">
        <f>1</f>
        <v>1</v>
      </c>
      <c r="I18" s="27"/>
      <c r="J18" s="59"/>
    </row>
    <row r="19" spans="2:10" ht="30" customHeight="1">
      <c r="B19" s="5" t="s">
        <v>103</v>
      </c>
      <c r="C19" s="6">
        <v>0</v>
      </c>
      <c r="D19" s="36">
        <v>10</v>
      </c>
      <c r="E19" s="6" t="s">
        <v>121</v>
      </c>
      <c r="F19" s="60">
        <f>10</f>
        <v>10</v>
      </c>
      <c r="I19" s="27"/>
      <c r="J19" s="59"/>
    </row>
    <row r="20" spans="2:10" ht="30" customHeight="1">
      <c r="B20" s="5"/>
      <c r="C20" s="6"/>
      <c r="D20" s="36"/>
      <c r="E20" s="6"/>
      <c r="F20" s="53"/>
      <c r="I20" s="27"/>
      <c r="J20" s="59"/>
    </row>
    <row r="21" spans="2:10" ht="30" customHeight="1">
      <c r="B21" s="5"/>
      <c r="C21" s="6"/>
      <c r="D21" s="36"/>
      <c r="E21" s="6"/>
      <c r="F21" s="37"/>
      <c r="I21" s="27"/>
      <c r="J21" s="59"/>
    </row>
    <row r="22" spans="2:10" ht="30" customHeight="1">
      <c r="B22" s="5"/>
      <c r="C22" s="6"/>
      <c r="D22" s="35"/>
      <c r="E22" s="33"/>
      <c r="F22" s="4"/>
      <c r="I22" s="27"/>
      <c r="J22" s="59"/>
    </row>
    <row r="23" spans="2:10" ht="30" customHeight="1">
      <c r="B23" s="5"/>
      <c r="C23" s="6"/>
      <c r="D23" s="38"/>
      <c r="E23" s="33"/>
      <c r="F23" s="4"/>
      <c r="I23" s="27"/>
      <c r="J23" s="59"/>
    </row>
    <row r="24" spans="2:10" ht="30" customHeight="1">
      <c r="B24" s="5"/>
      <c r="C24" s="6"/>
      <c r="D24" s="36"/>
      <c r="E24" s="33"/>
      <c r="F24" s="31"/>
      <c r="I24" s="27"/>
      <c r="J24" s="59"/>
    </row>
    <row r="25" spans="2:10" ht="30" customHeight="1">
      <c r="B25" s="5"/>
      <c r="C25" s="6"/>
      <c r="D25" s="35"/>
      <c r="E25" s="33"/>
      <c r="F25" s="4"/>
      <c r="I25" s="27"/>
      <c r="J25" s="59"/>
    </row>
    <row r="26" spans="2:10" ht="30" customHeight="1">
      <c r="B26" s="5"/>
      <c r="C26" s="6"/>
      <c r="D26" s="35"/>
      <c r="E26" s="6"/>
      <c r="F26" s="37"/>
      <c r="I26" s="27"/>
      <c r="J26" s="59"/>
    </row>
    <row r="27" spans="2:10" ht="30" customHeight="1">
      <c r="B27" s="32"/>
      <c r="C27" s="6"/>
      <c r="D27" s="35"/>
      <c r="E27" s="33"/>
      <c r="F27" s="37"/>
      <c r="I27" s="27"/>
      <c r="J27" s="59"/>
    </row>
    <row r="28" spans="2:10" ht="30" customHeight="1">
      <c r="B28" s="32"/>
      <c r="C28" s="6"/>
      <c r="D28" s="38"/>
      <c r="E28" s="33"/>
      <c r="F28" s="30"/>
      <c r="I28" s="27"/>
      <c r="J28" s="59"/>
    </row>
    <row r="29" spans="2:10" ht="30" customHeight="1" thickBot="1">
      <c r="B29" s="39"/>
      <c r="C29" s="40"/>
      <c r="D29" s="41"/>
      <c r="E29" s="40"/>
      <c r="F29" s="42"/>
      <c r="I29" s="27"/>
      <c r="J29" s="59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7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159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15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30</v>
      </c>
      <c r="E7" s="6" t="s">
        <v>32</v>
      </c>
      <c r="F7" s="4">
        <f>((0.4+0.4)*(0.4+0.4)*0.65*3+(0.35+0.4)*(0.35+0.4)*0.55)*10</f>
        <v>15.573750000000002</v>
      </c>
      <c r="I7" s="27"/>
      <c r="J7" s="28"/>
    </row>
    <row r="8" spans="2:10" ht="30" customHeight="1">
      <c r="B8" s="5" t="s">
        <v>94</v>
      </c>
      <c r="C8" s="6" t="s">
        <v>95</v>
      </c>
      <c r="D8" s="3" t="s">
        <v>0</v>
      </c>
      <c r="E8" s="6" t="s">
        <v>32</v>
      </c>
      <c r="F8" s="29">
        <f>15.6-3.92</f>
        <v>11.68</v>
      </c>
      <c r="I8" s="27"/>
      <c r="J8" s="28"/>
    </row>
    <row r="9" spans="2:10" ht="30" customHeight="1">
      <c r="B9" s="5" t="s">
        <v>90</v>
      </c>
      <c r="C9" s="6">
        <v>0</v>
      </c>
      <c r="D9" s="3" t="s">
        <v>1</v>
      </c>
      <c r="E9" s="6" t="s">
        <v>32</v>
      </c>
      <c r="F9" s="56">
        <f>(0.5*0.5*0.1+0.4*0.4*0.5+((0.26+0.16)*1/2)*((0.26+0.16)*1/2)*3.14*1/4*0.05)*3*10</f>
        <v>3.20192775</v>
      </c>
      <c r="I9" s="27"/>
      <c r="J9" s="28"/>
    </row>
    <row r="10" spans="2:10" ht="30" customHeight="1">
      <c r="B10" s="5"/>
      <c r="C10" s="6">
        <v>0</v>
      </c>
      <c r="D10" s="3" t="s">
        <v>7</v>
      </c>
      <c r="E10" s="6" t="s">
        <v>32</v>
      </c>
      <c r="F10" s="56">
        <f>(0.45*0.45*0.1+0.35*0.35*0.4+((0.26+0.16)*1/2)*((0.26+0.16)*1/2)*3.14*1/4*0.05)*10</f>
        <v>0.70980925</v>
      </c>
      <c r="I10" s="27"/>
      <c r="J10" s="28"/>
    </row>
    <row r="11" spans="2:10" ht="30" customHeight="1">
      <c r="B11" s="5"/>
      <c r="C11" s="6">
        <v>0</v>
      </c>
      <c r="D11" s="34" t="s">
        <v>31</v>
      </c>
      <c r="E11" s="6" t="s">
        <v>32</v>
      </c>
      <c r="F11" s="29">
        <f>3.201+0.709</f>
        <v>3.91</v>
      </c>
      <c r="I11" s="27"/>
      <c r="J11" s="28"/>
    </row>
    <row r="12" spans="2:10" ht="30" customHeight="1">
      <c r="B12" s="5" t="s">
        <v>96</v>
      </c>
      <c r="C12" s="6">
        <v>0</v>
      </c>
      <c r="D12" s="35" t="s">
        <v>2</v>
      </c>
      <c r="E12" s="6" t="s">
        <v>117</v>
      </c>
      <c r="F12" s="29">
        <f>(0.5*0.5*3+0.45*0.45)*10</f>
        <v>9.525</v>
      </c>
      <c r="I12" s="27"/>
      <c r="J12" s="28"/>
    </row>
    <row r="13" spans="2:10" ht="30" customHeight="1">
      <c r="B13" s="5" t="s">
        <v>97</v>
      </c>
      <c r="C13" s="6" t="s">
        <v>98</v>
      </c>
      <c r="D13" s="35" t="s">
        <v>2</v>
      </c>
      <c r="E13" s="6" t="s">
        <v>117</v>
      </c>
      <c r="F13" s="54">
        <f>(0.5*0.5*3+0.45*0.45)*10</f>
        <v>9.525</v>
      </c>
      <c r="I13" s="27"/>
      <c r="J13" s="28"/>
    </row>
    <row r="14" spans="2:10" ht="30" customHeight="1">
      <c r="B14" s="5" t="s">
        <v>91</v>
      </c>
      <c r="C14" s="6">
        <v>0</v>
      </c>
      <c r="D14" s="34" t="s">
        <v>3</v>
      </c>
      <c r="E14" s="6" t="s">
        <v>117</v>
      </c>
      <c r="F14" s="29">
        <f>(0.4*0.5*4*3+0.35*0.4*4)*10</f>
        <v>29.600000000000005</v>
      </c>
      <c r="I14" s="27"/>
      <c r="J14" s="28"/>
    </row>
    <row r="15" spans="2:10" ht="36.75" customHeight="1">
      <c r="B15" s="5" t="s">
        <v>92</v>
      </c>
      <c r="C15" s="6" t="s">
        <v>93</v>
      </c>
      <c r="D15" s="47" t="s">
        <v>6</v>
      </c>
      <c r="E15" s="6" t="s">
        <v>32</v>
      </c>
      <c r="F15" s="54">
        <f>((0.4*0.4*0.5-0.0605*0.0605*3.14/4*0.5)*3+(0.35*0.35*0.4-0.0605*0.0605*3.14/4*0.4))*10</f>
        <v>2.8354073712500005</v>
      </c>
      <c r="I15" s="27"/>
      <c r="J15" s="28"/>
    </row>
    <row r="16" spans="2:10" ht="30" customHeight="1">
      <c r="B16" s="5"/>
      <c r="C16" s="6"/>
      <c r="D16" s="49"/>
      <c r="E16" s="6"/>
      <c r="F16" s="57"/>
      <c r="I16" s="27"/>
      <c r="J16" s="28"/>
    </row>
    <row r="17" spans="2:10" ht="30" customHeight="1">
      <c r="B17" s="5" t="s">
        <v>100</v>
      </c>
      <c r="C17" s="6" t="s">
        <v>101</v>
      </c>
      <c r="D17" s="36">
        <v>10</v>
      </c>
      <c r="E17" s="6" t="s">
        <v>119</v>
      </c>
      <c r="F17" s="58">
        <f>10</f>
        <v>10</v>
      </c>
      <c r="I17" s="27"/>
      <c r="J17" s="28"/>
    </row>
    <row r="18" spans="2:10" ht="30" customHeight="1">
      <c r="B18" s="5" t="s">
        <v>102</v>
      </c>
      <c r="C18" s="6">
        <v>0</v>
      </c>
      <c r="D18" s="36">
        <v>1</v>
      </c>
      <c r="E18" s="6" t="s">
        <v>120</v>
      </c>
      <c r="F18" s="58">
        <f>1</f>
        <v>1</v>
      </c>
      <c r="I18" s="27"/>
      <c r="J18" s="28"/>
    </row>
    <row r="19" spans="2:10" ht="30" customHeight="1">
      <c r="B19" s="5" t="s">
        <v>103</v>
      </c>
      <c r="C19" s="6">
        <v>0</v>
      </c>
      <c r="D19" s="36">
        <v>10</v>
      </c>
      <c r="E19" s="6" t="s">
        <v>121</v>
      </c>
      <c r="F19" s="58">
        <f>10</f>
        <v>10</v>
      </c>
      <c r="I19" s="27"/>
      <c r="J19" s="28"/>
    </row>
    <row r="20" spans="2:10" ht="30" customHeight="1">
      <c r="B20" s="5"/>
      <c r="C20" s="6"/>
      <c r="D20" s="36"/>
      <c r="E20" s="6"/>
      <c r="F20" s="53"/>
      <c r="I20" s="27"/>
      <c r="J20" s="28"/>
    </row>
    <row r="21" spans="2:10" ht="30" customHeight="1">
      <c r="B21" s="5"/>
      <c r="C21" s="6"/>
      <c r="D21" s="36"/>
      <c r="E21" s="6"/>
      <c r="F21" s="37"/>
      <c r="I21" s="27"/>
      <c r="J21" s="28"/>
    </row>
    <row r="22" spans="2:10" ht="30" customHeight="1">
      <c r="B22" s="5"/>
      <c r="C22" s="6"/>
      <c r="D22" s="35"/>
      <c r="E22" s="33"/>
      <c r="F22" s="4"/>
      <c r="I22" s="27"/>
      <c r="J22" s="28"/>
    </row>
    <row r="23" spans="2:10" ht="30" customHeight="1">
      <c r="B23" s="5"/>
      <c r="C23" s="6"/>
      <c r="D23" s="38"/>
      <c r="E23" s="33"/>
      <c r="F23" s="4"/>
      <c r="I23" s="27"/>
      <c r="J23" s="28"/>
    </row>
    <row r="24" spans="2:10" ht="30" customHeight="1">
      <c r="B24" s="5"/>
      <c r="C24" s="6"/>
      <c r="D24" s="36"/>
      <c r="E24" s="33"/>
      <c r="F24" s="31"/>
      <c r="I24" s="27"/>
      <c r="J24" s="28"/>
    </row>
    <row r="25" spans="2:10" ht="30" customHeight="1">
      <c r="B25" s="5"/>
      <c r="C25" s="6"/>
      <c r="D25" s="35"/>
      <c r="E25" s="33"/>
      <c r="F25" s="4"/>
      <c r="I25" s="27"/>
      <c r="J25" s="28"/>
    </row>
    <row r="26" spans="2:10" ht="30" customHeight="1">
      <c r="B26" s="5"/>
      <c r="C26" s="6"/>
      <c r="D26" s="35"/>
      <c r="E26" s="6"/>
      <c r="F26" s="37"/>
      <c r="I26" s="27"/>
      <c r="J26" s="28"/>
    </row>
    <row r="27" spans="2:10" ht="30" customHeight="1">
      <c r="B27" s="32"/>
      <c r="C27" s="6"/>
      <c r="D27" s="35"/>
      <c r="E27" s="33"/>
      <c r="F27" s="37"/>
      <c r="I27" s="27"/>
      <c r="J27" s="28"/>
    </row>
    <row r="28" spans="2:10" ht="30" customHeight="1">
      <c r="B28" s="32"/>
      <c r="C28" s="6"/>
      <c r="D28" s="38"/>
      <c r="E28" s="33"/>
      <c r="F28" s="30"/>
      <c r="I28" s="27"/>
      <c r="J28" s="28"/>
    </row>
    <row r="29" spans="2:10" ht="30" customHeight="1" thickBot="1">
      <c r="B29" s="39"/>
      <c r="C29" s="40"/>
      <c r="D29" s="41"/>
      <c r="E29" s="40"/>
      <c r="F29" s="42"/>
      <c r="I29" s="27"/>
      <c r="J29" s="28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8</v>
      </c>
    </row>
    <row r="2" spans="2:6" ht="27.75" customHeight="1">
      <c r="B2" s="10" t="s">
        <v>14</v>
      </c>
      <c r="C2" s="11"/>
      <c r="D2" s="11"/>
      <c r="E2" s="11"/>
      <c r="F2" s="12"/>
    </row>
    <row r="3" spans="1:6" ht="39.75" customHeight="1">
      <c r="A3" s="13"/>
      <c r="B3" s="14" t="s">
        <v>160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42</v>
      </c>
    </row>
    <row r="5" spans="2:10" ht="20.25" customHeight="1">
      <c r="B5" s="21" t="s">
        <v>9</v>
      </c>
      <c r="C5" s="22" t="s">
        <v>10</v>
      </c>
      <c r="D5" s="22" t="s">
        <v>13</v>
      </c>
      <c r="E5" s="22" t="s">
        <v>11</v>
      </c>
      <c r="F5" s="23" t="s">
        <v>12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88</v>
      </c>
      <c r="C7" s="6">
        <v>0</v>
      </c>
      <c r="D7" s="3" t="s">
        <v>43</v>
      </c>
      <c r="E7" s="6" t="s">
        <v>32</v>
      </c>
      <c r="F7" s="4">
        <f>(0.16+0.4)*0.5*100</f>
        <v>28.000000000000004</v>
      </c>
      <c r="I7" s="27"/>
      <c r="J7" s="28"/>
    </row>
    <row r="8" spans="2:10" ht="30" customHeight="1">
      <c r="B8" s="5" t="s">
        <v>94</v>
      </c>
      <c r="C8" s="6" t="s">
        <v>95</v>
      </c>
      <c r="D8" s="3" t="s">
        <v>45</v>
      </c>
      <c r="E8" s="6" t="s">
        <v>32</v>
      </c>
      <c r="F8" s="29">
        <f>28-16.9</f>
        <v>11.100000000000001</v>
      </c>
      <c r="I8" s="27"/>
      <c r="J8" s="28"/>
    </row>
    <row r="9" spans="2:10" ht="30" customHeight="1">
      <c r="B9" s="5" t="s">
        <v>90</v>
      </c>
      <c r="C9" s="6">
        <v>0</v>
      </c>
      <c r="D9" s="3" t="s">
        <v>44</v>
      </c>
      <c r="E9" s="6" t="s">
        <v>32</v>
      </c>
      <c r="F9" s="4">
        <f>(0.25*0.1+0.16*0.4+0.2*0.4)*100</f>
        <v>16.900000000000002</v>
      </c>
      <c r="I9" s="27"/>
      <c r="J9" s="28"/>
    </row>
    <row r="10" spans="2:10" ht="30" customHeight="1">
      <c r="B10" s="5" t="s">
        <v>96</v>
      </c>
      <c r="C10" s="6">
        <v>0</v>
      </c>
      <c r="D10" s="3" t="s">
        <v>46</v>
      </c>
      <c r="E10" s="6" t="s">
        <v>117</v>
      </c>
      <c r="F10" s="29">
        <f>0.25*100</f>
        <v>25</v>
      </c>
      <c r="I10" s="27"/>
      <c r="J10" s="28"/>
    </row>
    <row r="11" spans="2:10" ht="30" customHeight="1">
      <c r="B11" s="5" t="s">
        <v>97</v>
      </c>
      <c r="C11" s="6" t="s">
        <v>98</v>
      </c>
      <c r="D11" s="3" t="s">
        <v>46</v>
      </c>
      <c r="E11" s="6" t="s">
        <v>117</v>
      </c>
      <c r="F11" s="54">
        <f>0.25*100</f>
        <v>25</v>
      </c>
      <c r="I11" s="27"/>
      <c r="J11" s="28"/>
    </row>
    <row r="12" spans="2:10" ht="30" customHeight="1">
      <c r="B12" s="5" t="s">
        <v>91</v>
      </c>
      <c r="C12" s="6">
        <v>0</v>
      </c>
      <c r="D12" s="35" t="s">
        <v>47</v>
      </c>
      <c r="E12" s="6" t="s">
        <v>117</v>
      </c>
      <c r="F12" s="54">
        <f>0.53*2*100</f>
        <v>106</v>
      </c>
      <c r="I12" s="27"/>
      <c r="J12" s="28"/>
    </row>
    <row r="13" spans="2:10" ht="30" customHeight="1">
      <c r="B13" s="5" t="s">
        <v>92</v>
      </c>
      <c r="C13" s="6" t="s">
        <v>93</v>
      </c>
      <c r="D13" s="35" t="s">
        <v>48</v>
      </c>
      <c r="E13" s="6" t="s">
        <v>32</v>
      </c>
      <c r="F13" s="54">
        <f>0.16*0.53*100</f>
        <v>8.48</v>
      </c>
      <c r="I13" s="27"/>
      <c r="J13" s="28"/>
    </row>
    <row r="14" spans="2:10" ht="30" customHeight="1">
      <c r="B14" s="5" t="s">
        <v>99</v>
      </c>
      <c r="C14" s="6">
        <v>0</v>
      </c>
      <c r="D14" s="34" t="s">
        <v>49</v>
      </c>
      <c r="E14" s="6" t="s">
        <v>117</v>
      </c>
      <c r="F14" s="54">
        <f>(0.23+0.16+0.38)*100</f>
        <v>77</v>
      </c>
      <c r="I14" s="27"/>
      <c r="J14" s="28"/>
    </row>
    <row r="15" spans="2:10" ht="30" customHeight="1">
      <c r="B15" s="5"/>
      <c r="C15" s="6"/>
      <c r="D15" s="47"/>
      <c r="E15" s="6"/>
      <c r="F15" s="55"/>
      <c r="I15" s="27"/>
      <c r="J15" s="28"/>
    </row>
    <row r="16" spans="2:10" ht="30" customHeight="1">
      <c r="B16" s="5"/>
      <c r="C16" s="6"/>
      <c r="D16" s="49"/>
      <c r="E16" s="6"/>
      <c r="F16" s="50"/>
      <c r="I16" s="27"/>
      <c r="J16" s="28"/>
    </row>
    <row r="17" spans="2:10" ht="30" customHeight="1">
      <c r="B17" s="5"/>
      <c r="C17" s="6"/>
      <c r="D17" s="36"/>
      <c r="E17" s="6"/>
      <c r="F17" s="51"/>
      <c r="I17" s="27"/>
      <c r="J17" s="28"/>
    </row>
    <row r="18" spans="2:10" ht="30" customHeight="1">
      <c r="B18" s="5"/>
      <c r="C18" s="6"/>
      <c r="D18" s="36"/>
      <c r="E18" s="6"/>
      <c r="F18" s="51"/>
      <c r="I18" s="27"/>
      <c r="J18" s="28"/>
    </row>
    <row r="19" spans="2:10" ht="30" customHeight="1">
      <c r="B19" s="5"/>
      <c r="C19" s="6"/>
      <c r="D19" s="36"/>
      <c r="E19" s="6"/>
      <c r="F19" s="52"/>
      <c r="I19" s="27"/>
      <c r="J19" s="28"/>
    </row>
    <row r="20" spans="2:10" ht="30" customHeight="1">
      <c r="B20" s="5"/>
      <c r="C20" s="6"/>
      <c r="D20" s="36"/>
      <c r="E20" s="6"/>
      <c r="F20" s="53"/>
      <c r="I20" s="27"/>
      <c r="J20" s="28"/>
    </row>
    <row r="21" spans="2:10" ht="30" customHeight="1">
      <c r="B21" s="5"/>
      <c r="C21" s="6"/>
      <c r="D21" s="36"/>
      <c r="E21" s="6"/>
      <c r="F21" s="37"/>
      <c r="I21" s="27"/>
      <c r="J21" s="28"/>
    </row>
    <row r="22" spans="2:10" ht="30" customHeight="1">
      <c r="B22" s="5"/>
      <c r="C22" s="6"/>
      <c r="D22" s="35"/>
      <c r="E22" s="33"/>
      <c r="F22" s="4"/>
      <c r="I22" s="27"/>
      <c r="J22" s="28"/>
    </row>
    <row r="23" spans="2:10" ht="30" customHeight="1">
      <c r="B23" s="5"/>
      <c r="C23" s="6"/>
      <c r="D23" s="38"/>
      <c r="E23" s="33"/>
      <c r="F23" s="4"/>
      <c r="I23" s="27"/>
      <c r="J23" s="28"/>
    </row>
    <row r="24" spans="2:10" ht="30" customHeight="1">
      <c r="B24" s="5"/>
      <c r="C24" s="6"/>
      <c r="D24" s="36"/>
      <c r="E24" s="33"/>
      <c r="F24" s="31"/>
      <c r="I24" s="27"/>
      <c r="J24" s="28"/>
    </row>
    <row r="25" spans="2:10" ht="30" customHeight="1">
      <c r="B25" s="5"/>
      <c r="C25" s="6"/>
      <c r="D25" s="35"/>
      <c r="E25" s="33"/>
      <c r="F25" s="4"/>
      <c r="I25" s="27"/>
      <c r="J25" s="28"/>
    </row>
    <row r="26" spans="2:10" ht="30" customHeight="1">
      <c r="B26" s="5"/>
      <c r="C26" s="6"/>
      <c r="D26" s="35"/>
      <c r="E26" s="6"/>
      <c r="F26" s="37"/>
      <c r="I26" s="27"/>
      <c r="J26" s="28"/>
    </row>
    <row r="27" spans="2:10" ht="30" customHeight="1">
      <c r="B27" s="32"/>
      <c r="C27" s="6"/>
      <c r="D27" s="35"/>
      <c r="E27" s="33"/>
      <c r="F27" s="37"/>
      <c r="I27" s="27"/>
      <c r="J27" s="28"/>
    </row>
    <row r="28" spans="2:10" ht="30" customHeight="1">
      <c r="B28" s="32"/>
      <c r="C28" s="6"/>
      <c r="D28" s="38"/>
      <c r="E28" s="33"/>
      <c r="F28" s="30"/>
      <c r="I28" s="27"/>
      <c r="J28" s="28"/>
    </row>
    <row r="29" spans="2:10" ht="30" customHeight="1" thickBot="1">
      <c r="B29" s="39"/>
      <c r="C29" s="40"/>
      <c r="D29" s="41"/>
      <c r="E29" s="40"/>
      <c r="F29" s="42"/>
      <c r="I29" s="27"/>
      <c r="J29" s="28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