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comments58.xml" ContentType="application/vnd.openxmlformats-officedocument.spreadsheetml.comments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comments61.xml" ContentType="application/vnd.openxmlformats-officedocument.spreadsheetml.comments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comments62.xml" ContentType="application/vnd.openxmlformats-officedocument.spreadsheetml.comments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comments63.xml" ContentType="application/vnd.openxmlformats-officedocument.spreadsheetml.comments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comments64.xml" ContentType="application/vnd.openxmlformats-officedocument.spreadsheetml.comments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comments65.xml" ContentType="application/vnd.openxmlformats-officedocument.spreadsheetml.comments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comments66.xml" ContentType="application/vnd.openxmlformats-officedocument.spreadsheetml.comments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comments67.xml" ContentType="application/vnd.openxmlformats-officedocument.spreadsheetml.comments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comments68.xml" ContentType="application/vnd.openxmlformats-officedocument.spreadsheetml.comments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comments69.xml" ContentType="application/vnd.openxmlformats-officedocument.spreadsheetml.comments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comments70.xml" ContentType="application/vnd.openxmlformats-officedocument.spreadsheetml.comments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comments71.xml" ContentType="application/vnd.openxmlformats-officedocument.spreadsheetml.comments+xml"/>
  <Override PartName="/xl/drawings/drawing71.xml" ContentType="application/vnd.openxmlformats-officedocument.drawing+xml"/>
  <Override PartName="/xl/worksheets/sheet72.xml" ContentType="application/vnd.openxmlformats-officedocument.spreadsheetml.worksheet+xml"/>
  <Override PartName="/xl/comments72.xml" ContentType="application/vnd.openxmlformats-officedocument.spreadsheetml.comments+xml"/>
  <Override PartName="/xl/drawings/drawing72.xml" ContentType="application/vnd.openxmlformats-officedocument.drawing+xml"/>
  <Override PartName="/xl/worksheets/sheet73.xml" ContentType="application/vnd.openxmlformats-officedocument.spreadsheetml.worksheet+xml"/>
  <Override PartName="/xl/comments73.xml" ContentType="application/vnd.openxmlformats-officedocument.spreadsheetml.comments+xml"/>
  <Override PartName="/xl/drawings/drawing73.xml" ContentType="application/vnd.openxmlformats-officedocument.drawing+xml"/>
  <Override PartName="/xl/worksheets/sheet74.xml" ContentType="application/vnd.openxmlformats-officedocument.spreadsheetml.worksheet+xml"/>
  <Override PartName="/xl/comments74.xml" ContentType="application/vnd.openxmlformats-officedocument.spreadsheetml.comments+xml"/>
  <Override PartName="/xl/drawings/drawing74.xml" ContentType="application/vnd.openxmlformats-officedocument.drawing+xml"/>
  <Override PartName="/xl/worksheets/sheet75.xml" ContentType="application/vnd.openxmlformats-officedocument.spreadsheetml.worksheet+xml"/>
  <Override PartName="/xl/comments75.xml" ContentType="application/vnd.openxmlformats-officedocument.spreadsheetml.comments+xml"/>
  <Override PartName="/xl/drawings/drawing75.xml" ContentType="application/vnd.openxmlformats-officedocument.drawing+xml"/>
  <Override PartName="/xl/worksheets/sheet76.xml" ContentType="application/vnd.openxmlformats-officedocument.spreadsheetml.worksheet+xml"/>
  <Override PartName="/xl/comments76.xml" ContentType="application/vnd.openxmlformats-officedocument.spreadsheetml.comments+xml"/>
  <Override PartName="/xl/drawings/drawing76.xml" ContentType="application/vnd.openxmlformats-officedocument.drawing+xml"/>
  <Override PartName="/xl/worksheets/sheet77.xml" ContentType="application/vnd.openxmlformats-officedocument.spreadsheetml.worksheet+xml"/>
  <Override PartName="/xl/comments77.xml" ContentType="application/vnd.openxmlformats-officedocument.spreadsheetml.comments+xml"/>
  <Override PartName="/xl/drawings/drawing77.xml" ContentType="application/vnd.openxmlformats-officedocument.drawing+xml"/>
  <Override PartName="/xl/worksheets/sheet78.xml" ContentType="application/vnd.openxmlformats-officedocument.spreadsheetml.worksheet+xml"/>
  <Override PartName="/xl/comments78.xml" ContentType="application/vnd.openxmlformats-officedocument.spreadsheetml.comments+xml"/>
  <Override PartName="/xl/drawings/drawing78.xml" ContentType="application/vnd.openxmlformats-officedocument.drawing+xml"/>
  <Override PartName="/xl/worksheets/sheet79.xml" ContentType="application/vnd.openxmlformats-officedocument.spreadsheetml.worksheet+xml"/>
  <Override PartName="/xl/comments79.xml" ContentType="application/vnd.openxmlformats-officedocument.spreadsheetml.comments+xml"/>
  <Override PartName="/xl/drawings/drawing79.xml" ContentType="application/vnd.openxmlformats-officedocument.drawing+xml"/>
  <Override PartName="/xl/worksheets/sheet80.xml" ContentType="application/vnd.openxmlformats-officedocument.spreadsheetml.worksheet+xml"/>
  <Override PartName="/xl/comments80.xml" ContentType="application/vnd.openxmlformats-officedocument.spreadsheetml.comments+xml"/>
  <Override PartName="/xl/drawings/drawing80.xml" ContentType="application/vnd.openxmlformats-officedocument.drawing+xml"/>
  <Override PartName="/xl/worksheets/sheet81.xml" ContentType="application/vnd.openxmlformats-officedocument.spreadsheetml.worksheet+xml"/>
  <Override PartName="/xl/comments81.xml" ContentType="application/vnd.openxmlformats-officedocument.spreadsheetml.comments+xml"/>
  <Override PartName="/xl/drawings/drawing81.xml" ContentType="application/vnd.openxmlformats-officedocument.drawing+xml"/>
  <Override PartName="/xl/worksheets/sheet82.xml" ContentType="application/vnd.openxmlformats-officedocument.spreadsheetml.worksheet+xml"/>
  <Override PartName="/xl/comments82.xml" ContentType="application/vnd.openxmlformats-officedocument.spreadsheetml.comments+xml"/>
  <Override PartName="/xl/drawings/drawing82.xml" ContentType="application/vnd.openxmlformats-officedocument.drawing+xml"/>
  <Override PartName="/xl/worksheets/sheet83.xml" ContentType="application/vnd.openxmlformats-officedocument.spreadsheetml.worksheet+xml"/>
  <Override PartName="/xl/comments83.xml" ContentType="application/vnd.openxmlformats-officedocument.spreadsheetml.comments+xml"/>
  <Override PartName="/xl/drawings/drawing83.xml" ContentType="application/vnd.openxmlformats-officedocument.drawing+xml"/>
  <Override PartName="/xl/worksheets/sheet84.xml" ContentType="application/vnd.openxmlformats-officedocument.spreadsheetml.worksheet+xml"/>
  <Override PartName="/xl/comments84.xml" ContentType="application/vnd.openxmlformats-officedocument.spreadsheetml.comments+xml"/>
  <Override PartName="/xl/drawings/drawing84.xml" ContentType="application/vnd.openxmlformats-officedocument.drawing+xml"/>
  <Override PartName="/xl/worksheets/sheet85.xml" ContentType="application/vnd.openxmlformats-officedocument.spreadsheetml.worksheet+xml"/>
  <Override PartName="/xl/comments85.xml" ContentType="application/vnd.openxmlformats-officedocument.spreadsheetml.comments+xml"/>
  <Override PartName="/xl/drawings/drawing85.xml" ContentType="application/vnd.openxmlformats-officedocument.drawing+xml"/>
  <Override PartName="/xl/worksheets/sheet86.xml" ContentType="application/vnd.openxmlformats-officedocument.spreadsheetml.worksheet+xml"/>
  <Override PartName="/xl/comments86.xml" ContentType="application/vnd.openxmlformats-officedocument.spreadsheetml.comments+xml"/>
  <Override PartName="/xl/drawings/drawing86.xml" ContentType="application/vnd.openxmlformats-officedocument.drawing+xml"/>
  <Override PartName="/xl/worksheets/sheet87.xml" ContentType="application/vnd.openxmlformats-officedocument.spreadsheetml.worksheet+xml"/>
  <Override PartName="/xl/comments87.xml" ContentType="application/vnd.openxmlformats-officedocument.spreadsheetml.comments+xml"/>
  <Override PartName="/xl/drawings/drawing87.xml" ContentType="application/vnd.openxmlformats-officedocument.drawing+xml"/>
  <Override PartName="/xl/worksheets/sheet88.xml" ContentType="application/vnd.openxmlformats-officedocument.spreadsheetml.worksheet+xml"/>
  <Override PartName="/xl/comments88.xml" ContentType="application/vnd.openxmlformats-officedocument.spreadsheetml.comments+xml"/>
  <Override PartName="/xl/drawings/drawing88.xml" ContentType="application/vnd.openxmlformats-officedocument.drawing+xml"/>
  <Override PartName="/xl/worksheets/sheet89.xml" ContentType="application/vnd.openxmlformats-officedocument.spreadsheetml.worksheet+xml"/>
  <Override PartName="/xl/comments89.xml" ContentType="application/vnd.openxmlformats-officedocument.spreadsheetml.comments+xml"/>
  <Override PartName="/xl/drawings/drawing89.xml" ContentType="application/vnd.openxmlformats-officedocument.drawing+xml"/>
  <Override PartName="/xl/worksheets/sheet90.xml" ContentType="application/vnd.openxmlformats-officedocument.spreadsheetml.worksheet+xml"/>
  <Override PartName="/xl/comments90.xml" ContentType="application/vnd.openxmlformats-officedocument.spreadsheetml.comments+xml"/>
  <Override PartName="/xl/drawings/drawing90.xml" ContentType="application/vnd.openxmlformats-officedocument.drawing+xml"/>
  <Override PartName="/xl/worksheets/sheet91.xml" ContentType="application/vnd.openxmlformats-officedocument.spreadsheetml.worksheet+xml"/>
  <Override PartName="/xl/comments91.xml" ContentType="application/vnd.openxmlformats-officedocument.spreadsheetml.comments+xml"/>
  <Override PartName="/xl/drawings/drawing91.xml" ContentType="application/vnd.openxmlformats-officedocument.drawing+xml"/>
  <Override PartName="/xl/worksheets/sheet92.xml" ContentType="application/vnd.openxmlformats-officedocument.spreadsheetml.worksheet+xml"/>
  <Override PartName="/xl/comments92.xml" ContentType="application/vnd.openxmlformats-officedocument.spreadsheetml.comments+xml"/>
  <Override PartName="/xl/drawings/drawing92.xml" ContentType="application/vnd.openxmlformats-officedocument.drawing+xml"/>
  <Override PartName="/xl/worksheets/sheet93.xml" ContentType="application/vnd.openxmlformats-officedocument.spreadsheetml.worksheet+xml"/>
  <Override PartName="/xl/comments93.xml" ContentType="application/vnd.openxmlformats-officedocument.spreadsheetml.comments+xml"/>
  <Override PartName="/xl/drawings/drawing93.xml" ContentType="application/vnd.openxmlformats-officedocument.drawing+xml"/>
  <Override PartName="/xl/worksheets/sheet94.xml" ContentType="application/vnd.openxmlformats-officedocument.spreadsheetml.worksheet+xml"/>
  <Override PartName="/xl/comments94.xml" ContentType="application/vnd.openxmlformats-officedocument.spreadsheetml.comments+xml"/>
  <Override PartName="/xl/drawings/drawing94.xml" ContentType="application/vnd.openxmlformats-officedocument.drawing+xml"/>
  <Override PartName="/xl/worksheets/sheet95.xml" ContentType="application/vnd.openxmlformats-officedocument.spreadsheetml.worksheet+xml"/>
  <Override PartName="/xl/comments95.xml" ContentType="application/vnd.openxmlformats-officedocument.spreadsheetml.comments+xml"/>
  <Override PartName="/xl/drawings/drawing95.xml" ContentType="application/vnd.openxmlformats-officedocument.drawing+xml"/>
  <Override PartName="/xl/worksheets/sheet96.xml" ContentType="application/vnd.openxmlformats-officedocument.spreadsheetml.worksheet+xml"/>
  <Override PartName="/xl/comments96.xml" ContentType="application/vnd.openxmlformats-officedocument.spreadsheetml.comments+xml"/>
  <Override PartName="/xl/drawings/drawing96.xml" ContentType="application/vnd.openxmlformats-officedocument.drawing+xml"/>
  <Override PartName="/xl/worksheets/sheet97.xml" ContentType="application/vnd.openxmlformats-officedocument.spreadsheetml.worksheet+xml"/>
  <Override PartName="/xl/comments97.xml" ContentType="application/vnd.openxmlformats-officedocument.spreadsheetml.comments+xml"/>
  <Override PartName="/xl/drawings/drawing97.xml" ContentType="application/vnd.openxmlformats-officedocument.drawing+xml"/>
  <Override PartName="/xl/worksheets/sheet98.xml" ContentType="application/vnd.openxmlformats-officedocument.spreadsheetml.worksheet+xml"/>
  <Override PartName="/xl/comments98.xml" ContentType="application/vnd.openxmlformats-officedocument.spreadsheetml.comments+xml"/>
  <Override PartName="/xl/drawings/drawing98.xml" ContentType="application/vnd.openxmlformats-officedocument.drawing+xml"/>
  <Override PartName="/xl/worksheets/sheet99.xml" ContentType="application/vnd.openxmlformats-officedocument.spreadsheetml.worksheet+xml"/>
  <Override PartName="/xl/comments99.xml" ContentType="application/vnd.openxmlformats-officedocument.spreadsheetml.comments+xml"/>
  <Override PartName="/xl/drawings/drawing99.xml" ContentType="application/vnd.openxmlformats-officedocument.drawing+xml"/>
  <Override PartName="/xl/worksheets/sheet100.xml" ContentType="application/vnd.openxmlformats-officedocument.spreadsheetml.worksheet+xml"/>
  <Override PartName="/xl/comments100.xml" ContentType="application/vnd.openxmlformats-officedocument.spreadsheetml.comments+xml"/>
  <Override PartName="/xl/drawings/drawing100.xml" ContentType="application/vnd.openxmlformats-officedocument.drawing+xml"/>
  <Override PartName="/xl/worksheets/sheet101.xml" ContentType="application/vnd.openxmlformats-officedocument.spreadsheetml.worksheet+xml"/>
  <Override PartName="/xl/comments101.xml" ContentType="application/vnd.openxmlformats-officedocument.spreadsheetml.comments+xml"/>
  <Override PartName="/xl/drawings/drawing101.xml" ContentType="application/vnd.openxmlformats-officedocument.drawing+xml"/>
  <Override PartName="/xl/worksheets/sheet102.xml" ContentType="application/vnd.openxmlformats-officedocument.spreadsheetml.worksheet+xml"/>
  <Override PartName="/xl/comments102.xml" ContentType="application/vnd.openxmlformats-officedocument.spreadsheetml.comments+xml"/>
  <Override PartName="/xl/drawings/drawing102.xml" ContentType="application/vnd.openxmlformats-officedocument.drawing+xml"/>
  <Override PartName="/xl/worksheets/sheet103.xml" ContentType="application/vnd.openxmlformats-officedocument.spreadsheetml.worksheet+xml"/>
  <Override PartName="/xl/comments103.xml" ContentType="application/vnd.openxmlformats-officedocument.spreadsheetml.comments+xml"/>
  <Override PartName="/xl/drawings/drawing103.xml" ContentType="application/vnd.openxmlformats-officedocument.drawing+xml"/>
  <Override PartName="/xl/worksheets/sheet104.xml" ContentType="application/vnd.openxmlformats-officedocument.spreadsheetml.worksheet+xml"/>
  <Override PartName="/xl/comments104.xml" ContentType="application/vnd.openxmlformats-officedocument.spreadsheetml.comments+xml"/>
  <Override PartName="/xl/drawings/drawing104.xml" ContentType="application/vnd.openxmlformats-officedocument.drawing+xml"/>
  <Override PartName="/xl/worksheets/sheet105.xml" ContentType="application/vnd.openxmlformats-officedocument.spreadsheetml.worksheet+xml"/>
  <Override PartName="/xl/comments105.xml" ContentType="application/vnd.openxmlformats-officedocument.spreadsheetml.comments+xml"/>
  <Override PartName="/xl/drawings/drawing105.xml" ContentType="application/vnd.openxmlformats-officedocument.drawing+xml"/>
  <Override PartName="/xl/worksheets/sheet106.xml" ContentType="application/vnd.openxmlformats-officedocument.spreadsheetml.worksheet+xml"/>
  <Override PartName="/xl/comments106.xml" ContentType="application/vnd.openxmlformats-officedocument.spreadsheetml.comments+xml"/>
  <Override PartName="/xl/drawings/drawing106.xml" ContentType="application/vnd.openxmlformats-officedocument.drawing+xml"/>
  <Override PartName="/xl/worksheets/sheet107.xml" ContentType="application/vnd.openxmlformats-officedocument.spreadsheetml.worksheet+xml"/>
  <Override PartName="/xl/comments107.xml" ContentType="application/vnd.openxmlformats-officedocument.spreadsheetml.comments+xml"/>
  <Override PartName="/xl/drawings/drawing107.xml" ContentType="application/vnd.openxmlformats-officedocument.drawing+xml"/>
  <Override PartName="/xl/worksheets/sheet108.xml" ContentType="application/vnd.openxmlformats-officedocument.spreadsheetml.worksheet+xml"/>
  <Override PartName="/xl/comments108.xml" ContentType="application/vnd.openxmlformats-officedocument.spreadsheetml.comments+xml"/>
  <Override PartName="/xl/drawings/drawing108.xml" ContentType="application/vnd.openxmlformats-officedocument.drawing+xml"/>
  <Override PartName="/xl/worksheets/sheet109.xml" ContentType="application/vnd.openxmlformats-officedocument.spreadsheetml.worksheet+xml"/>
  <Override PartName="/xl/comments109.xml" ContentType="application/vnd.openxmlformats-officedocument.spreadsheetml.comments+xml"/>
  <Override PartName="/xl/drawings/drawing109.xml" ContentType="application/vnd.openxmlformats-officedocument.drawing+xml"/>
  <Override PartName="/xl/worksheets/sheet110.xml" ContentType="application/vnd.openxmlformats-officedocument.spreadsheetml.worksheet+xml"/>
  <Override PartName="/xl/comments110.xml" ContentType="application/vnd.openxmlformats-officedocument.spreadsheetml.comments+xml"/>
  <Override PartName="/xl/drawings/drawing110.xml" ContentType="application/vnd.openxmlformats-officedocument.drawing+xml"/>
  <Override PartName="/xl/worksheets/sheet111.xml" ContentType="application/vnd.openxmlformats-officedocument.spreadsheetml.worksheet+xml"/>
  <Override PartName="/xl/comments111.xml" ContentType="application/vnd.openxmlformats-officedocument.spreadsheetml.comments+xml"/>
  <Override PartName="/xl/drawings/drawing111.xml" ContentType="application/vnd.openxmlformats-officedocument.drawing+xml"/>
  <Override PartName="/xl/worksheets/sheet112.xml" ContentType="application/vnd.openxmlformats-officedocument.spreadsheetml.worksheet+xml"/>
  <Override PartName="/xl/comments112.xml" ContentType="application/vnd.openxmlformats-officedocument.spreadsheetml.comments+xml"/>
  <Override PartName="/xl/drawings/drawing112.xml" ContentType="application/vnd.openxmlformats-officedocument.drawing+xml"/>
  <Override PartName="/xl/worksheets/sheet113.xml" ContentType="application/vnd.openxmlformats-officedocument.spreadsheetml.worksheet+xml"/>
  <Override PartName="/xl/comments113.xml" ContentType="application/vnd.openxmlformats-officedocument.spreadsheetml.comments+xml"/>
  <Override PartName="/xl/drawings/drawing113.xml" ContentType="application/vnd.openxmlformats-officedocument.drawing+xml"/>
  <Override PartName="/xl/worksheets/sheet114.xml" ContentType="application/vnd.openxmlformats-officedocument.spreadsheetml.worksheet+xml"/>
  <Override PartName="/xl/comments114.xml" ContentType="application/vnd.openxmlformats-officedocument.spreadsheetml.comments+xml"/>
  <Override PartName="/xl/drawings/drawing114.xml" ContentType="application/vnd.openxmlformats-officedocument.drawing+xml"/>
  <Override PartName="/xl/worksheets/sheet115.xml" ContentType="application/vnd.openxmlformats-officedocument.spreadsheetml.worksheet+xml"/>
  <Override PartName="/xl/comments115.xml" ContentType="application/vnd.openxmlformats-officedocument.spreadsheetml.comments+xml"/>
  <Override PartName="/xl/drawings/drawing115.xml" ContentType="application/vnd.openxmlformats-officedocument.drawing+xml"/>
  <Override PartName="/xl/worksheets/sheet116.xml" ContentType="application/vnd.openxmlformats-officedocument.spreadsheetml.worksheet+xml"/>
  <Override PartName="/xl/comments116.xml" ContentType="application/vnd.openxmlformats-officedocument.spreadsheetml.comments+xml"/>
  <Override PartName="/xl/drawings/drawing116.xml" ContentType="application/vnd.openxmlformats-officedocument.drawing+xml"/>
  <Override PartName="/xl/worksheets/sheet117.xml" ContentType="application/vnd.openxmlformats-officedocument.spreadsheetml.worksheet+xml"/>
  <Override PartName="/xl/comments117.xml" ContentType="application/vnd.openxmlformats-officedocument.spreadsheetml.comments+xml"/>
  <Override PartName="/xl/drawings/drawing117.xml" ContentType="application/vnd.openxmlformats-officedocument.drawing+xml"/>
  <Override PartName="/xl/worksheets/sheet118.xml" ContentType="application/vnd.openxmlformats-officedocument.spreadsheetml.worksheet+xml"/>
  <Override PartName="/xl/comments118.xml" ContentType="application/vnd.openxmlformats-officedocument.spreadsheetml.comments+xml"/>
  <Override PartName="/xl/drawings/drawing118.xml" ContentType="application/vnd.openxmlformats-officedocument.drawing+xml"/>
  <Override PartName="/xl/worksheets/sheet119.xml" ContentType="application/vnd.openxmlformats-officedocument.spreadsheetml.worksheet+xml"/>
  <Override PartName="/xl/comments119.xml" ContentType="application/vnd.openxmlformats-officedocument.spreadsheetml.comments+xml"/>
  <Override PartName="/xl/drawings/drawing119.xml" ContentType="application/vnd.openxmlformats-officedocument.drawing+xml"/>
  <Override PartName="/xl/worksheets/sheet120.xml" ContentType="application/vnd.openxmlformats-officedocument.spreadsheetml.worksheet+xml"/>
  <Override PartName="/xl/comments120.xml" ContentType="application/vnd.openxmlformats-officedocument.spreadsheetml.comments+xml"/>
  <Override PartName="/xl/drawings/drawing120.xml" ContentType="application/vnd.openxmlformats-officedocument.drawing+xml"/>
  <Override PartName="/xl/worksheets/sheet121.xml" ContentType="application/vnd.openxmlformats-officedocument.spreadsheetml.worksheet+xml"/>
  <Override PartName="/xl/comments121.xml" ContentType="application/vnd.openxmlformats-officedocument.spreadsheetml.comments+xml"/>
  <Override PartName="/xl/drawings/drawing121.xml" ContentType="application/vnd.openxmlformats-officedocument.drawing+xml"/>
  <Override PartName="/xl/worksheets/sheet122.xml" ContentType="application/vnd.openxmlformats-officedocument.spreadsheetml.worksheet+xml"/>
  <Override PartName="/xl/comments122.xml" ContentType="application/vnd.openxmlformats-officedocument.spreadsheetml.comments+xml"/>
  <Override PartName="/xl/drawings/drawing122.xml" ContentType="application/vnd.openxmlformats-officedocument.drawing+xml"/>
  <Override PartName="/xl/worksheets/sheet123.xml" ContentType="application/vnd.openxmlformats-officedocument.spreadsheetml.worksheet+xml"/>
  <Override PartName="/xl/comments123.xml" ContentType="application/vnd.openxmlformats-officedocument.spreadsheetml.comments+xml"/>
  <Override PartName="/xl/drawings/drawing123.xml" ContentType="application/vnd.openxmlformats-officedocument.drawing+xml"/>
  <Override PartName="/xl/worksheets/sheet124.xml" ContentType="application/vnd.openxmlformats-officedocument.spreadsheetml.worksheet+xml"/>
  <Override PartName="/xl/comments124.xml" ContentType="application/vnd.openxmlformats-officedocument.spreadsheetml.comments+xml"/>
  <Override PartName="/xl/drawings/drawing124.xml" ContentType="application/vnd.openxmlformats-officedocument.drawing+xml"/>
  <Override PartName="/xl/worksheets/sheet125.xml" ContentType="application/vnd.openxmlformats-officedocument.spreadsheetml.worksheet+xml"/>
  <Override PartName="/xl/comments125.xml" ContentType="application/vnd.openxmlformats-officedocument.spreadsheetml.comments+xml"/>
  <Override PartName="/xl/drawings/drawing1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30" yWindow="525" windowWidth="12255" windowHeight="14370" tabRatio="862" firstSheet="37" activeTab="38"/>
  </bookViews>
  <sheets>
    <sheet name="SD-60 雑割石積" sheetId="1" r:id="rId1"/>
    <sheet name="SD-90 雑割石積" sheetId="2" r:id="rId2"/>
    <sheet name="BD-40　ブロック土留" sheetId="3" r:id="rId3"/>
    <sheet name="BD-60　ブロック土留" sheetId="4" r:id="rId4"/>
    <sheet name="BD-80　ブロック土留" sheetId="5" r:id="rId5"/>
    <sheet name="KBD-40　化粧ブロック土留" sheetId="6" r:id="rId6"/>
    <sheet name="KBD-60　化粧ブロック土留" sheetId="7" r:id="rId7"/>
    <sheet name="KBD-80　化粧ブロック土留" sheetId="8" r:id="rId8"/>
    <sheet name="フェンス基礎（180×180×450、φ50.8）" sheetId="9" r:id="rId9"/>
    <sheet name="フェンス基礎（200×200×450、φ50.8）" sheetId="10" r:id="rId10"/>
    <sheet name="フェンス基礎（250×250×450、φ50.8）" sheetId="11" r:id="rId11"/>
    <sheet name="フェンス基礎（250×250×500、φ60.5）" sheetId="12" r:id="rId12"/>
    <sheet name="フェンス基礎（250×250×500、φ50.8）" sheetId="13" r:id="rId13"/>
    <sheet name="フェンス基礎（300×300×500、φ60.5）" sheetId="14" r:id="rId14"/>
    <sheet name="フェンス基礎（300×300×600、φ60.5）" sheetId="15" r:id="rId15"/>
    <sheet name="フェンス基礎（300×300×700、φ60.5）" sheetId="16" r:id="rId16"/>
    <sheet name="フェンス基礎（350×350×600、φ60.5）" sheetId="17" r:id="rId17"/>
    <sheet name="フェンス基礎（400×400×600、φ60.5）" sheetId="18" r:id="rId18"/>
    <sheet name="フェンス基礎（400×400×700、φ60.5）" sheetId="19" r:id="rId19"/>
    <sheet name="フェンス基礎（φ600×800、φ60.5）" sheetId="20" r:id="rId20"/>
    <sheet name="フェンス基礎（φ600×900、φ60.5）" sheetId="21" r:id="rId21"/>
    <sheet name="フェンス基礎（φ600×950、φ60.5）" sheetId="22" r:id="rId22"/>
    <sheet name="フェンス基礎（φ600×1000、φ60.5）" sheetId="23" r:id="rId23"/>
    <sheet name="フェンス基礎（φ600×1100、φ60.5）" sheetId="24" r:id="rId24"/>
    <sheet name="フェンス基礎（φ600×1000、φ89.1）" sheetId="25" r:id="rId25"/>
    <sheet name="フェンス基礎（φ600×1100、φ89.1）" sheetId="26" r:id="rId26"/>
    <sheet name="フェンス基礎（φ800×1000、φ89.1）" sheetId="27" r:id="rId27"/>
    <sheet name="フェンス基礎（φ800×1000、φ89.1） (2)" sheetId="28" r:id="rId28"/>
    <sheet name="フェンス基礎（φ800×1000、φ89.1） (3)" sheetId="29" r:id="rId29"/>
    <sheet name="フェンス基礎（φ800×1000、φ89.1） (4)" sheetId="30" r:id="rId30"/>
    <sheet name="フェンス基礎（φ800×1100、φ89.1）" sheetId="31" r:id="rId31"/>
    <sheet name="フェンス基礎（φ800×1100、φ89.1） (2)" sheetId="32" r:id="rId32"/>
    <sheet name="フェンス基礎（φ800×1200、φ89.1）" sheetId="33" r:id="rId33"/>
    <sheet name="フェンス基礎（φ800×1200、φ89.1） (2)" sheetId="34" r:id="rId34"/>
    <sheet name="KTE 階段手摺" sheetId="35" r:id="rId35"/>
    <sheet name="TE 手摺" sheetId="36" r:id="rId36"/>
    <sheet name="TF 鉄線柵" sheetId="37" r:id="rId37"/>
    <sheet name="MRF 木ﾛｰﾌﾟ柵" sheetId="38" r:id="rId38"/>
    <sheet name="PKT-A1 車止め" sheetId="39" r:id="rId39"/>
    <sheet name="PKT-A2-1 車止め" sheetId="40" r:id="rId40"/>
    <sheet name="PKT-A2-2 車止め" sheetId="41" r:id="rId41"/>
    <sheet name="PKT-B1 車止め" sheetId="42" r:id="rId42"/>
    <sheet name="PKT-B2 車止め" sheetId="43" r:id="rId43"/>
    <sheet name="GKT-A 車止め" sheetId="44" r:id="rId44"/>
    <sheet name="GKT-B 車止め" sheetId="45" r:id="rId45"/>
    <sheet name="LS-25 ﾌﾟﾚｷｬｽﾄＬ型側溝" sheetId="46" r:id="rId46"/>
    <sheet name="SS-30 ﾌﾟﾚｷｬｽﾄ皿型側溝" sheetId="47" r:id="rId47"/>
    <sheet name="SM-30A 皿型側溝桝" sheetId="48" r:id="rId48"/>
    <sheet name="SM-30B 皿型側溝桝" sheetId="49" r:id="rId49"/>
    <sheet name="SM-30C 皿型側溝桝" sheetId="50" r:id="rId50"/>
    <sheet name=" UA-18 ﾌﾟﾚｷｬｽﾄU型側溝" sheetId="51" r:id="rId51"/>
    <sheet name=" UA-24 ﾌﾟﾚｷｬｽﾄU型側溝" sheetId="52" r:id="rId52"/>
    <sheet name=" UA-30 ﾌﾟﾚｷｬｽﾄU型側溝" sheetId="53" r:id="rId53"/>
    <sheet name=" UA-36 ﾌﾟﾚｷｬｽﾄU型側溝" sheetId="54" r:id="rId54"/>
    <sheet name=" UB-18 ﾌﾟﾚｷｬｽﾄU型側溝" sheetId="55" r:id="rId55"/>
    <sheet name=" UB-24 ﾌﾟﾚｷｬｽﾄU型側溝" sheetId="56" r:id="rId56"/>
    <sheet name=" UB-30 ﾌﾟﾚｷｬｽﾄU型側溝" sheetId="57" r:id="rId57"/>
    <sheet name=" UB-36 ﾌﾟﾚｷｬｽﾄU型側溝" sheetId="58" r:id="rId58"/>
    <sheet name=" UA-18-T ﾌﾟﾚｷｬｽﾄU型側溝（片面透水型）" sheetId="59" r:id="rId59"/>
    <sheet name=" UA-24-T ﾌﾟﾚｷｬｽﾄU型側溝（片面透水型）" sheetId="60" r:id="rId60"/>
    <sheet name=" UA-30-T ﾌﾟﾚｷｬｽﾄU型側溝（片面透水型）" sheetId="61" r:id="rId61"/>
    <sheet name=" UA-36-T ﾌﾟﾚｷｬｽﾄU型側溝（片面透水型）" sheetId="62" r:id="rId62"/>
    <sheet name=" UB-18-T ﾌﾟﾚｷｬｽﾄU型側溝（片面透水型）" sheetId="63" r:id="rId63"/>
    <sheet name=" UB-24-T ﾌﾟﾚｷｬｽﾄU型側溝（片面透水型）" sheetId="64" r:id="rId64"/>
    <sheet name=" UB-30-T ﾌﾟﾚｷｬｽﾄU型側溝（片面透水型）" sheetId="65" r:id="rId65"/>
    <sheet name=" UB-36-T ﾌﾟﾚｷｬｽﾄU型側溝（片面透水型）" sheetId="66" r:id="rId66"/>
    <sheet name=" UA-18-T2 ﾌﾟﾚｷｬｽﾄU型側溝（両面透水型）" sheetId="67" r:id="rId67"/>
    <sheet name=" UA-24-T2 ﾌﾟﾚｷｬｽﾄU型側溝（両面透水型）" sheetId="68" r:id="rId68"/>
    <sheet name=" UA-30-T2 ﾌﾟﾚｷｬｽﾄU型側溝（両面透水型）" sheetId="69" r:id="rId69"/>
    <sheet name=" UA-36-T2 ﾌﾟﾚｷｬｽﾄU型側溝（両面透水型）" sheetId="70" r:id="rId70"/>
    <sheet name=" UB-18-T2 ﾌﾟﾚｷｬｽﾄU型側溝（両面透水型）" sheetId="71" r:id="rId71"/>
    <sheet name=" UB-24-T2 ﾌﾟﾚｷｬｽﾄU型側溝（両面透水型）" sheetId="72" r:id="rId72"/>
    <sheet name=" UB-30-T2 ﾌﾟﾚｷｬｽﾄU型側溝（両面透水型）" sheetId="73" r:id="rId73"/>
    <sheet name=" UB-36-T2 ﾌﾟﾚｷｬｽﾄU型側溝（両面透水型）" sheetId="74" r:id="rId74"/>
    <sheet name="FC-18～36 U型側溝蓋" sheetId="75" r:id="rId75"/>
    <sheet name="FG-18～36 U型側溝蓋" sheetId="76" r:id="rId76"/>
    <sheet name="FG-18(W)～36(W) U型側溝蓋" sheetId="77" r:id="rId77"/>
    <sheet name=" UM-18 U型側溝桝" sheetId="78" r:id="rId78"/>
    <sheet name=" UM-24 U型側溝桝" sheetId="79" r:id="rId79"/>
    <sheet name=" UM-30 U型側溝桝" sheetId="80" r:id="rId80"/>
    <sheet name="UO-25 落蓋式U型側溝" sheetId="81" r:id="rId81"/>
    <sheet name="UO-30 落蓋式U型側溝" sheetId="82" r:id="rId82"/>
    <sheet name="UO-40 落蓋式U型側溝" sheetId="83" r:id="rId83"/>
    <sheet name="FO-25～40 落蓋式U型側溝蓋" sheetId="84" r:id="rId84"/>
    <sheet name="GO-25A～40A,25B～40B 落蓋式U型側溝蓋" sheetId="85" r:id="rId85"/>
    <sheet name="GU-25A,25B 横断側溝" sheetId="86" r:id="rId86"/>
    <sheet name="GU-30A,30B 横断側溝" sheetId="87" r:id="rId87"/>
    <sheet name="GU-35A,35B 横断側溝" sheetId="88" r:id="rId88"/>
    <sheet name="GUM-30A,30B 横断側溝桝" sheetId="89" r:id="rId89"/>
    <sheet name="GUM-40A,40B 横断側溝桝" sheetId="90" r:id="rId90"/>
    <sheet name="TP-5 透水管" sheetId="91" r:id="rId91"/>
    <sheet name="TP-10 透水管 " sheetId="92" r:id="rId92"/>
    <sheet name="TP-15 透水管 " sheetId="93" r:id="rId93"/>
    <sheet name="TP-20 透水管 " sheetId="94" r:id="rId94"/>
    <sheet name="VU-10 硬質塩化ﾋﾞﾆｰﾙ管" sheetId="95" r:id="rId95"/>
    <sheet name="VU-15 硬質塩化ﾋﾞﾆｰﾙ管" sheetId="96" r:id="rId96"/>
    <sheet name="VU-20 硬質塩化ﾋﾞﾆｰﾙ管" sheetId="97" r:id="rId97"/>
    <sheet name="VU-25 硬質塩化ﾋﾞﾆｰﾙ管 " sheetId="98" r:id="rId98"/>
    <sheet name="VU-30 硬質塩化ﾋﾞﾆｰﾙ管 " sheetId="99" r:id="rId99"/>
    <sheet name="SOM-10,15-a～e-50 小口径汚水桝" sheetId="100" r:id="rId100"/>
    <sheet name="SOM-10,15-a～e-60 小口径汚水桝" sheetId="101" r:id="rId101"/>
    <sheet name="SOM-10,15-a～e-70 小口径汚水桝" sheetId="102" r:id="rId102"/>
    <sheet name="SOM-10,15-a～e-80 小口径汚水桝" sheetId="103" r:id="rId103"/>
    <sheet name="SOM-10,15-a～e-90 小口径汚水桝" sheetId="104" r:id="rId104"/>
    <sheet name="SOM-10,15-a～e-100 小口径汚水桝" sheetId="105" r:id="rId105"/>
    <sheet name="SOM-10,15-a～e-110 小口径汚水桝" sheetId="106" r:id="rId106"/>
    <sheet name="SOM-10,15-a～e-120 小口径汚水桝" sheetId="107" r:id="rId107"/>
    <sheet name="RM-30 集水桝" sheetId="108" r:id="rId108"/>
    <sheet name="RM-40 集水桝" sheetId="109" r:id="rId109"/>
    <sheet name="RM-50 集水桝" sheetId="110" r:id="rId110"/>
    <sheet name="RM-60 集水桝" sheetId="111" r:id="rId111"/>
    <sheet name="RM-70 集水桝" sheetId="112" r:id="rId112"/>
    <sheet name="RM-80 集水桝" sheetId="113" r:id="rId113"/>
    <sheet name="SM-30 浸透桝" sheetId="114" r:id="rId114"/>
    <sheet name="SM-40 浸透桝" sheetId="115" r:id="rId115"/>
    <sheet name="SM-50 浸透桝" sheetId="116" r:id="rId116"/>
    <sheet name="SM-60 浸透桝" sheetId="117" r:id="rId117"/>
    <sheet name="SM-70 浸透桝" sheetId="118" r:id="rId118"/>
    <sheet name="SM-80 浸透桝" sheetId="119" r:id="rId119"/>
    <sheet name="KO-(A1～E2)-a 単独引込照明灯" sheetId="120" r:id="rId120"/>
    <sheet name="KO-(A1～E2)-b 分電盤利用照明灯" sheetId="121" r:id="rId121"/>
    <sheet name="HT-B1～B4 引込柱（メーター分電盤）" sheetId="122" r:id="rId122"/>
    <sheet name="EH ハンドホール" sheetId="123" r:id="rId123"/>
    <sheet name="PM-60A～C 電線管" sheetId="124" r:id="rId124"/>
    <sheet name="CB-4K,K4R,K6K,K6R 注意板" sheetId="125" r:id="rId125"/>
  </sheets>
  <externalReferences>
    <externalReference r:id="rId128"/>
    <externalReference r:id="rId129"/>
  </externalReferences>
  <definedNames>
    <definedName name="_xlnm.Print_Area" localSheetId="50">' UA-18 ﾌﾟﾚｷｬｽﾄU型側溝'!$A$1:$F$29</definedName>
    <definedName name="_xlnm.Print_Area" localSheetId="58">' UA-18-T ﾌﾟﾚｷｬｽﾄU型側溝（片面透水型）'!$A$1:$F$29</definedName>
    <definedName name="_xlnm.Print_Area" localSheetId="66">' UA-18-T2 ﾌﾟﾚｷｬｽﾄU型側溝（両面透水型）'!$A$1:$F$29</definedName>
    <definedName name="_xlnm.Print_Area" localSheetId="51">' UA-24 ﾌﾟﾚｷｬｽﾄU型側溝'!$A$1:$F$29</definedName>
    <definedName name="_xlnm.Print_Area" localSheetId="59">' UA-24-T ﾌﾟﾚｷｬｽﾄU型側溝（片面透水型）'!$A$1:$F$29</definedName>
    <definedName name="_xlnm.Print_Area" localSheetId="67">' UA-24-T2 ﾌﾟﾚｷｬｽﾄU型側溝（両面透水型）'!$A$1:$F$29</definedName>
    <definedName name="_xlnm.Print_Area" localSheetId="52">' UA-30 ﾌﾟﾚｷｬｽﾄU型側溝'!$A$1:$F$29</definedName>
    <definedName name="_xlnm.Print_Area" localSheetId="60">' UA-30-T ﾌﾟﾚｷｬｽﾄU型側溝（片面透水型）'!$A$1:$F$29</definedName>
    <definedName name="_xlnm.Print_Area" localSheetId="68">' UA-30-T2 ﾌﾟﾚｷｬｽﾄU型側溝（両面透水型）'!$A$1:$F$29</definedName>
    <definedName name="_xlnm.Print_Area" localSheetId="53">' UA-36 ﾌﾟﾚｷｬｽﾄU型側溝'!$A$1:$F$29</definedName>
    <definedName name="_xlnm.Print_Area" localSheetId="61">' UA-36-T ﾌﾟﾚｷｬｽﾄU型側溝（片面透水型）'!$A$1:$F$29</definedName>
    <definedName name="_xlnm.Print_Area" localSheetId="69">' UA-36-T2 ﾌﾟﾚｷｬｽﾄU型側溝（両面透水型）'!$A$1:$F$29</definedName>
    <definedName name="_xlnm.Print_Area" localSheetId="54">' UB-18 ﾌﾟﾚｷｬｽﾄU型側溝'!$A$1:$F$29</definedName>
    <definedName name="_xlnm.Print_Area" localSheetId="62">' UB-18-T ﾌﾟﾚｷｬｽﾄU型側溝（片面透水型）'!$A$1:$F$29</definedName>
    <definedName name="_xlnm.Print_Area" localSheetId="70">' UB-18-T2 ﾌﾟﾚｷｬｽﾄU型側溝（両面透水型）'!$A$1:$F$29</definedName>
    <definedName name="_xlnm.Print_Area" localSheetId="55">' UB-24 ﾌﾟﾚｷｬｽﾄU型側溝'!$A$1:$F$29</definedName>
    <definedName name="_xlnm.Print_Area" localSheetId="63">' UB-24-T ﾌﾟﾚｷｬｽﾄU型側溝（片面透水型）'!$A$1:$F$29</definedName>
    <definedName name="_xlnm.Print_Area" localSheetId="71">' UB-24-T2 ﾌﾟﾚｷｬｽﾄU型側溝（両面透水型）'!$A$1:$F$29</definedName>
    <definedName name="_xlnm.Print_Area" localSheetId="56">' UB-30 ﾌﾟﾚｷｬｽﾄU型側溝'!$A$1:$F$29</definedName>
    <definedName name="_xlnm.Print_Area" localSheetId="64">' UB-30-T ﾌﾟﾚｷｬｽﾄU型側溝（片面透水型）'!$A$1:$F$29</definedName>
    <definedName name="_xlnm.Print_Area" localSheetId="72">' UB-30-T2 ﾌﾟﾚｷｬｽﾄU型側溝（両面透水型）'!$A$1:$F$29</definedName>
    <definedName name="_xlnm.Print_Area" localSheetId="57">' UB-36 ﾌﾟﾚｷｬｽﾄU型側溝'!$A$1:$F$29</definedName>
    <definedName name="_xlnm.Print_Area" localSheetId="65">' UB-36-T ﾌﾟﾚｷｬｽﾄU型側溝（片面透水型）'!$A$1:$F$29</definedName>
    <definedName name="_xlnm.Print_Area" localSheetId="73">' UB-36-T2 ﾌﾟﾚｷｬｽﾄU型側溝（両面透水型）'!$A$1:$F$29</definedName>
    <definedName name="_xlnm.Print_Area" localSheetId="77">' UM-18 U型側溝桝'!$A$1:$F$29</definedName>
    <definedName name="_xlnm.Print_Area" localSheetId="78">' UM-24 U型側溝桝'!$A$1:$F$29</definedName>
    <definedName name="_xlnm.Print_Area" localSheetId="79">' UM-30 U型側溝桝'!$A$1:$F$29</definedName>
    <definedName name="_xlnm.Print_Area" localSheetId="2">'BD-40　ブロック土留'!$A$1:$F$30</definedName>
    <definedName name="_xlnm.Print_Area" localSheetId="3">'BD-60　ブロック土留'!$A$1:$F$30</definedName>
    <definedName name="_xlnm.Print_Area" localSheetId="4">'BD-80　ブロック土留'!$A$1:$F$30</definedName>
    <definedName name="_xlnm.Print_Area" localSheetId="124">'CB-4K,K4R,K6K,K6R 注意板'!$A$1:$F$29</definedName>
    <definedName name="_xlnm.Print_Area" localSheetId="122">'EH ハンドホール'!$A$1:$F$28</definedName>
    <definedName name="_xlnm.Print_Area" localSheetId="74">'FC-18～36 U型側溝蓋'!$A$1:$F$29</definedName>
    <definedName name="_xlnm.Print_Area" localSheetId="76">'FG-18(W)～36(W) U型側溝蓋'!$A$1:$F$29</definedName>
    <definedName name="_xlnm.Print_Area" localSheetId="75">'FG-18～36 U型側溝蓋'!$A$1:$F$29</definedName>
    <definedName name="_xlnm.Print_Area" localSheetId="83">'FO-25～40 落蓋式U型側溝蓋'!$A$1:$F$29</definedName>
    <definedName name="_xlnm.Print_Area" localSheetId="43">'GKT-A 車止め'!$A$1:$F$29</definedName>
    <definedName name="_xlnm.Print_Area" localSheetId="44">'GKT-B 車止め'!$A$1:$F$29</definedName>
    <definedName name="_xlnm.Print_Area" localSheetId="84">'GO-25A～40A,25B～40B 落蓋式U型側溝蓋'!$A$1:$F$29</definedName>
    <definedName name="_xlnm.Print_Area" localSheetId="85">'GU-25A,25B 横断側溝'!$A$1:$F$29</definedName>
    <definedName name="_xlnm.Print_Area" localSheetId="86">'GU-30A,30B 横断側溝'!$A$1:$F$29</definedName>
    <definedName name="_xlnm.Print_Area" localSheetId="87">'GU-35A,35B 横断側溝'!$A$1:$F$29</definedName>
    <definedName name="_xlnm.Print_Area" localSheetId="88">'GUM-30A,30B 横断側溝桝'!$A$1:$F$29</definedName>
    <definedName name="_xlnm.Print_Area" localSheetId="89">'GUM-40A,40B 横断側溝桝'!$A$1:$F$29</definedName>
    <definedName name="_xlnm.Print_Area" localSheetId="121">'HT-B1～B4 引込柱（メーター分電盤）'!$A$1:$F$29</definedName>
    <definedName name="_xlnm.Print_Area" localSheetId="5">'KBD-40　化粧ブロック土留'!$A$1:$F$30</definedName>
    <definedName name="_xlnm.Print_Area" localSheetId="6">'KBD-60　化粧ブロック土留'!$A$1:$F$30</definedName>
    <definedName name="_xlnm.Print_Area" localSheetId="7">'KBD-80　化粧ブロック土留'!$A$1:$F$30</definedName>
    <definedName name="_xlnm.Print_Area" localSheetId="119">'KO-(A1～E2)-a 単独引込照明灯'!$A$1:$F$29</definedName>
    <definedName name="_xlnm.Print_Area" localSheetId="120">'KO-(A1～E2)-b 分電盤利用照明灯'!$A$1:$F$29</definedName>
    <definedName name="_xlnm.Print_Area" localSheetId="34">'KTE 階段手摺'!$A$1:$F$29</definedName>
    <definedName name="_xlnm.Print_Area" localSheetId="45">'LS-25 ﾌﾟﾚｷｬｽﾄＬ型側溝'!$A$1:$F$29</definedName>
    <definedName name="_xlnm.Print_Area" localSheetId="37">'MRF 木ﾛｰﾌﾟ柵'!$A$1:$F$29</definedName>
    <definedName name="_xlnm.Print_Area" localSheetId="38">'PKT-A1 車止め'!$A$1:$F$29</definedName>
    <definedName name="_xlnm.Print_Area" localSheetId="39">'PKT-A2-1 車止め'!$A$1:$F$29</definedName>
    <definedName name="_xlnm.Print_Area" localSheetId="40">'PKT-A2-2 車止め'!$A$1:$F$29</definedName>
    <definedName name="_xlnm.Print_Area" localSheetId="41">'PKT-B1 車止め'!$A$1:$F$29</definedName>
    <definedName name="_xlnm.Print_Area" localSheetId="42">'PKT-B2 車止め'!$A$1:$F$29</definedName>
    <definedName name="_xlnm.Print_Area" localSheetId="123">'PM-60A～C 電線管'!$A$1:$F$29</definedName>
    <definedName name="_xlnm.Print_Area" localSheetId="107">'RM-30 集水桝'!$A$1:$F$29</definedName>
    <definedName name="_xlnm.Print_Area" localSheetId="108">'RM-40 集水桝'!$A$1:$F$29</definedName>
    <definedName name="_xlnm.Print_Area" localSheetId="109">'RM-50 集水桝'!$A$1:$F$30</definedName>
    <definedName name="_xlnm.Print_Area" localSheetId="110">'RM-60 集水桝'!$A$1:$F$29</definedName>
    <definedName name="_xlnm.Print_Area" localSheetId="111">'RM-70 集水桝'!$A$1:$F$29</definedName>
    <definedName name="_xlnm.Print_Area" localSheetId="112">'RM-80 集水桝'!$A$1:$F$29</definedName>
    <definedName name="_xlnm.Print_Area" localSheetId="0">'SD-60 雑割石積'!$A$1:$F$29</definedName>
    <definedName name="_xlnm.Print_Area" localSheetId="1">'SD-90 雑割石積'!$A$1:$F$29</definedName>
    <definedName name="_xlnm.Print_Area" localSheetId="113">'SM-30 浸透桝'!$A$1:$F$29</definedName>
    <definedName name="_xlnm.Print_Area" localSheetId="47">'SM-30A 皿型側溝桝'!$A$1:$F$29</definedName>
    <definedName name="_xlnm.Print_Area" localSheetId="48">'SM-30B 皿型側溝桝'!$A$1:$F$29</definedName>
    <definedName name="_xlnm.Print_Area" localSheetId="49">'SM-30C 皿型側溝桝'!$A$1:$F$29</definedName>
    <definedName name="_xlnm.Print_Area" localSheetId="114">'SM-40 浸透桝'!$A$1:$F$29</definedName>
    <definedName name="_xlnm.Print_Area" localSheetId="115">'SM-50 浸透桝'!$A$1:$F$30</definedName>
    <definedName name="_xlnm.Print_Area" localSheetId="116">'SM-60 浸透桝'!$A$1:$F$29</definedName>
    <definedName name="_xlnm.Print_Area" localSheetId="117">'SM-70 浸透桝'!$A$1:$F$29</definedName>
    <definedName name="_xlnm.Print_Area" localSheetId="118">'SM-80 浸透桝'!$A$1:$F$29</definedName>
    <definedName name="_xlnm.Print_Area" localSheetId="104">'SOM-10,15-a～e-100 小口径汚水桝'!$A$1:$F$28</definedName>
    <definedName name="_xlnm.Print_Area" localSheetId="105">'SOM-10,15-a～e-110 小口径汚水桝'!$A$1:$F$28</definedName>
    <definedName name="_xlnm.Print_Area" localSheetId="106">'SOM-10,15-a～e-120 小口径汚水桝'!$A$1:$F$28</definedName>
    <definedName name="_xlnm.Print_Area" localSheetId="99">'SOM-10,15-a～e-50 小口径汚水桝'!$A$1:$F$28</definedName>
    <definedName name="_xlnm.Print_Area" localSheetId="100">'SOM-10,15-a～e-60 小口径汚水桝'!$A$1:$F$28</definedName>
    <definedName name="_xlnm.Print_Area" localSheetId="101">'SOM-10,15-a～e-70 小口径汚水桝'!$A$1:$F$28</definedName>
    <definedName name="_xlnm.Print_Area" localSheetId="102">'SOM-10,15-a～e-80 小口径汚水桝'!$A$1:$F$28</definedName>
    <definedName name="_xlnm.Print_Area" localSheetId="103">'SOM-10,15-a～e-90 小口径汚水桝'!$A$1:$F$28</definedName>
    <definedName name="_xlnm.Print_Area" localSheetId="46">'SS-30 ﾌﾟﾚｷｬｽﾄ皿型側溝'!$A$1:$F$29</definedName>
    <definedName name="_xlnm.Print_Area" localSheetId="35">'TE 手摺'!$A$1:$F$29</definedName>
    <definedName name="_xlnm.Print_Area" localSheetId="36">'TF 鉄線柵'!$A$1:$F$29</definedName>
    <definedName name="_xlnm.Print_Area" localSheetId="91">'TP-10 透水管 '!$A$1:$F$29</definedName>
    <definedName name="_xlnm.Print_Area" localSheetId="92">'TP-15 透水管 '!$A$1:$F$29</definedName>
    <definedName name="_xlnm.Print_Area" localSheetId="93">'TP-20 透水管 '!$A$1:$F$29</definedName>
    <definedName name="_xlnm.Print_Area" localSheetId="90">'TP-5 透水管'!$A$1:$F$29</definedName>
    <definedName name="_xlnm.Print_Area" localSheetId="80">'UO-25 落蓋式U型側溝'!$A$1:$F$29</definedName>
    <definedName name="_xlnm.Print_Area" localSheetId="81">'UO-30 落蓋式U型側溝'!$A$1:$F$29</definedName>
    <definedName name="_xlnm.Print_Area" localSheetId="82">'UO-40 落蓋式U型側溝'!$A$1:$F$29</definedName>
    <definedName name="_xlnm.Print_Area" localSheetId="94">'VU-10 硬質塩化ﾋﾞﾆｰﾙ管'!$A$1:$F$29</definedName>
    <definedName name="_xlnm.Print_Area" localSheetId="95">'VU-15 硬質塩化ﾋﾞﾆｰﾙ管'!$A$1:$F$29</definedName>
    <definedName name="_xlnm.Print_Area" localSheetId="96">'VU-20 硬質塩化ﾋﾞﾆｰﾙ管'!$A$1:$F$29</definedName>
    <definedName name="_xlnm.Print_Area" localSheetId="97">'VU-25 硬質塩化ﾋﾞﾆｰﾙ管 '!$A$1:$F$29</definedName>
    <definedName name="_xlnm.Print_Area" localSheetId="98">'VU-30 硬質塩化ﾋﾞﾆｰﾙ管 '!$A$1:$F$29</definedName>
    <definedName name="_xlnm.Print_Area" localSheetId="8">'フェンス基礎（180×180×450、φ50.8）'!$A$1:$F$31</definedName>
    <definedName name="_xlnm.Print_Area" localSheetId="9">'フェンス基礎（200×200×450、φ50.8）'!$A$1:$F$31</definedName>
    <definedName name="_xlnm.Print_Area" localSheetId="10">'フェンス基礎（250×250×450、φ50.8）'!$A$1:$F$31</definedName>
    <definedName name="_xlnm.Print_Area" localSheetId="12">'フェンス基礎（250×250×500、φ50.8）'!$A$1:$F$31</definedName>
    <definedName name="_xlnm.Print_Area" localSheetId="11">'フェンス基礎（250×250×500、φ60.5）'!$A$1:$F$31</definedName>
    <definedName name="_xlnm.Print_Area" localSheetId="13">'フェンス基礎（300×300×500、φ60.5）'!$A$1:$F$31</definedName>
    <definedName name="_xlnm.Print_Area" localSheetId="14">'フェンス基礎（300×300×600、φ60.5）'!$A$1:$F$31</definedName>
    <definedName name="_xlnm.Print_Area" localSheetId="15">'フェンス基礎（300×300×700、φ60.5）'!$A$1:$F$31</definedName>
    <definedName name="_xlnm.Print_Area" localSheetId="16">'フェンス基礎（350×350×600、φ60.5）'!$A$1:$F$31</definedName>
    <definedName name="_xlnm.Print_Area" localSheetId="17">'フェンス基礎（400×400×600、φ60.5）'!$A$1:$F$31</definedName>
    <definedName name="_xlnm.Print_Area" localSheetId="18">'フェンス基礎（400×400×700、φ60.5）'!$A$1:$F$31</definedName>
    <definedName name="_xlnm.Print_Area" localSheetId="22">'フェンス基礎（φ600×1000、φ60.5）'!$A$1:$F$31</definedName>
    <definedName name="_xlnm.Print_Area" localSheetId="24">'フェンス基礎（φ600×1000、φ89.1）'!$A$1:$F$31</definedName>
    <definedName name="_xlnm.Print_Area" localSheetId="23">'フェンス基礎（φ600×1100、φ60.5）'!$A$1:$F$31</definedName>
    <definedName name="_xlnm.Print_Area" localSheetId="25">'フェンス基礎（φ600×1100、φ89.1）'!$A$1:$F$31</definedName>
    <definedName name="_xlnm.Print_Area" localSheetId="19">'フェンス基礎（φ600×800、φ60.5）'!$A$1:$F$31</definedName>
    <definedName name="_xlnm.Print_Area" localSheetId="20">'フェンス基礎（φ600×900、φ60.5）'!$A$1:$F$31</definedName>
    <definedName name="_xlnm.Print_Area" localSheetId="21">'フェンス基礎（φ600×950、φ60.5）'!$A$1:$F$31</definedName>
    <definedName name="_xlnm.Print_Area" localSheetId="26">'フェンス基礎（φ800×1000、φ89.1）'!$A$1:$F$31</definedName>
    <definedName name="_xlnm.Print_Area" localSheetId="27">'フェンス基礎（φ800×1000、φ89.1） (2)'!$A$1:$F$31</definedName>
    <definedName name="_xlnm.Print_Area" localSheetId="28">'フェンス基礎（φ800×1000、φ89.1） (3)'!$A$1:$F$31</definedName>
    <definedName name="_xlnm.Print_Area" localSheetId="29">'フェンス基礎（φ800×1000、φ89.1） (4)'!$A$1:$F$31</definedName>
    <definedName name="_xlnm.Print_Area" localSheetId="30">'フェンス基礎（φ800×1100、φ89.1）'!$A$1:$F$31</definedName>
    <definedName name="_xlnm.Print_Area" localSheetId="31">'フェンス基礎（φ800×1100、φ89.1） (2)'!$A$1:$F$31</definedName>
    <definedName name="_xlnm.Print_Area" localSheetId="32">'フェンス基礎（φ800×1200、φ89.1）'!$A$1:$F$31</definedName>
    <definedName name="_xlnm.Print_Area" localSheetId="33">'フェンス基礎（φ800×1200、φ89.1） (2)'!$A$1:$F$31</definedName>
    <definedName name="あ">#REF!</definedName>
    <definedName name="す">#REF!</definedName>
    <definedName name="材料表" localSheetId="2">'[2]材料表'!$A$40:$E$239</definedName>
    <definedName name="材料表" localSheetId="3">'[2]材料表'!$A$40:$E$239</definedName>
    <definedName name="材料表" localSheetId="4">'[2]材料表'!$A$40:$E$239</definedName>
    <definedName name="材料表" localSheetId="5">'[2]材料表'!$A$40:$E$239</definedName>
    <definedName name="材料表" localSheetId="6">'[2]材料表'!$A$40:$E$239</definedName>
    <definedName name="材料表" localSheetId="7">'[2]材料表'!$A$40:$E$239</definedName>
    <definedName name="材料表">#REF!</definedName>
  </definedNames>
  <calcPr fullCalcOnLoad="1"/>
</workbook>
</file>

<file path=xl/comments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2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2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2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2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2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2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<sst xmlns="http://schemas.openxmlformats.org/spreadsheetml/2006/main" count="5815" uniqueCount="1338">
  <si>
    <t>((0.13×0.13+0.1×0.1)÷2×0.45-0.0508×0.0508×3.14÷4×0.3)×5</t>
  </si>
  <si>
    <t>0.35×0.35×10</t>
  </si>
  <si>
    <t>0.4×0.4×10</t>
  </si>
  <si>
    <t>0.4×0.4×0.03×10</t>
  </si>
  <si>
    <t>(0.165×0.165×3.14÷4×0.5-0.0605×0.0605×3.14÷4×0.35)×5</t>
  </si>
  <si>
    <t>0.45×10</t>
  </si>
  <si>
    <t>0.6×0.6×3.14÷4×10</t>
  </si>
  <si>
    <t>0.9×10</t>
  </si>
  <si>
    <t>(0.6×0.6×3.14÷4×0.9-0.0605×0.0605×3.14÷4×0.4)×10</t>
  </si>
  <si>
    <t>3.2-3.0</t>
  </si>
  <si>
    <t>フェンス</t>
  </si>
  <si>
    <t xml:space="preserve">m当り </t>
  </si>
  <si>
    <t>　　NF-400[B],400C[B]、KF-400[B]</t>
  </si>
  <si>
    <t>0.6×0.6×3.14÷4×1.25×10</t>
  </si>
  <si>
    <t>1.0×10</t>
  </si>
  <si>
    <t>(0.6×0.6×3.14÷4×1.0-0.0605×0.0605×3.14÷4×0.45)×10</t>
  </si>
  <si>
    <t>10÷2</t>
  </si>
  <si>
    <t>1.0×10</t>
  </si>
  <si>
    <t>フェンス</t>
  </si>
  <si>
    <t xml:space="preserve">m当り </t>
  </si>
  <si>
    <t>　　RF-400,400[A]</t>
  </si>
  <si>
    <t>(0.6×0.6×3.14÷4×1.15+0.2×0.2×3.14÷4×0.1)×10</t>
  </si>
  <si>
    <t>3.5-3.3</t>
  </si>
  <si>
    <t>(0.6×0.6×3.14÷4×1.0-0.0891×0.0891×3.14÷4×0.45)×10</t>
  </si>
  <si>
    <t>10÷2.04</t>
  </si>
  <si>
    <t>(0.2×0.2-0.0891×0.0891)×3.14÷4×0.1×10÷2.04</t>
  </si>
  <si>
    <t>フェンス</t>
  </si>
  <si>
    <t xml:space="preserve">m当り </t>
  </si>
  <si>
    <t>10÷2.04</t>
  </si>
  <si>
    <t>フェンス基礎（φ600×1000、φ89.1）</t>
  </si>
  <si>
    <t>　　RF-400[B]</t>
  </si>
  <si>
    <t>0.6×0.6×3.14÷4×1.35×10</t>
  </si>
  <si>
    <t>(0.6×0.6×3.14÷4×1.25+0.2×0.2×3.14÷4×0.1)×10</t>
  </si>
  <si>
    <t>3.8-3.6</t>
  </si>
  <si>
    <t>1.1×10</t>
  </si>
  <si>
    <t>(0.6×0.6×3.14÷4×1.1-0.0891×0.0891×3.14÷4×0.5)×10</t>
  </si>
  <si>
    <t>1.0×10</t>
  </si>
  <si>
    <t>フェンス</t>
  </si>
  <si>
    <t xml:space="preserve">m当り </t>
  </si>
  <si>
    <t>　　NF-500,500C,500[A],50C[A],500[B],500C[B]、KF-500,500[A],500[B]、RF-500,500[A]</t>
  </si>
  <si>
    <t>　　NF-500,500C,500[A],50C[A],500[B],500C[B]、KF-500,500[A],500[B]、RF-500,500[A]</t>
  </si>
  <si>
    <t>0.8×0.8×3.14÷4×1.25×10</t>
  </si>
  <si>
    <t>(0.8×0.8×3.14÷4×1.15+0.2×0.2×3.14÷4×0.1)×10</t>
  </si>
  <si>
    <t>6.3-5.8</t>
  </si>
  <si>
    <t>0.8×0.8×3.14÷4×10</t>
  </si>
  <si>
    <t>(0.8×0.8×3.14÷4×1.0-0.0891×0.0891×3.14÷4×0.5)×10</t>
  </si>
  <si>
    <t>NF-500,500C,500[A],50C[A],500[B],500C[B]</t>
  </si>
  <si>
    <t>10÷2.04</t>
  </si>
  <si>
    <t>(0.2×0.2-0.0891×0.0891)×3.14÷4×0.1×10÷2</t>
  </si>
  <si>
    <t>フェンス</t>
  </si>
  <si>
    <t xml:space="preserve">m当り </t>
  </si>
  <si>
    <t>10÷2.04</t>
  </si>
  <si>
    <t>　　RF-500[B]</t>
  </si>
  <si>
    <t>0.8×0.8×3.14÷4×1.35×10</t>
  </si>
  <si>
    <t>(0.8×0.8×3.14÷4×1.25+0.2×0.2×3.14÷4×0.1)×10</t>
  </si>
  <si>
    <t>6.8-6.3</t>
  </si>
  <si>
    <t>1.1×10</t>
  </si>
  <si>
    <t>(0.8×0.8×3.14÷4×1.1-0.0891×0.0891×3.14÷4×0.5)×10</t>
  </si>
  <si>
    <t>Nｏ. 　　　　　　</t>
  </si>
  <si>
    <t>名　　称</t>
  </si>
  <si>
    <t>規　　格</t>
  </si>
  <si>
    <t>単位</t>
  </si>
  <si>
    <t>数　　量</t>
  </si>
  <si>
    <t>算　           　式</t>
  </si>
  <si>
    <t>0.45×0.45×10</t>
  </si>
  <si>
    <t xml:space="preserve">  材 料 計 算 書  </t>
  </si>
  <si>
    <t>合計</t>
  </si>
  <si>
    <t>単位当り</t>
  </si>
  <si>
    <t xml:space="preserve">m当り </t>
  </si>
  <si>
    <t xml:space="preserve">基当り </t>
  </si>
  <si>
    <t xml:space="preserve">m当り </t>
  </si>
  <si>
    <t>0.55×10</t>
  </si>
  <si>
    <t xml:space="preserve">ｍ当り </t>
  </si>
  <si>
    <t>フェンス基礎（250×250×500、φ50.8）</t>
  </si>
  <si>
    <t>(0.165×0.165×3.14÷4×0.5-0.0508×0.0508×3.14÷4×0.3)×5</t>
  </si>
  <si>
    <t>(0.6×0.6×3.14÷4×0.8-0.0605×0.0605×3.14÷4×0.4)×10</t>
  </si>
  <si>
    <t>材料の5%</t>
  </si>
  <si>
    <t>18÷1.8+18÷3.6</t>
  </si>
  <si>
    <t>(1.8×4+2.34×2)×10×0.0417×1.035</t>
  </si>
  <si>
    <t>3.5-0.8</t>
  </si>
  <si>
    <t>(0.5×0.5×0.1+0.4×0.4×3.14÷4×0.45)×10</t>
  </si>
  <si>
    <t>0.5×0.5×10</t>
  </si>
  <si>
    <t>(0.3+0.4)×(0.3+0.4)×0.5×2×10</t>
  </si>
  <si>
    <t>0.4×0.4×2×10</t>
  </si>
  <si>
    <t>(0.3×0.4×0.1+0.2×0.3×0.23)×10</t>
  </si>
  <si>
    <t>(0.2×0.2-0.0605×0.0605)×3.14÷4×0.1×5</t>
  </si>
  <si>
    <t>(0.2×0.2-0.0891×0.0891)×3.14÷4×0.1×10÷2.04</t>
  </si>
  <si>
    <t>0.6×0.6×3.14÷4×10</t>
  </si>
  <si>
    <t>フェンス</t>
  </si>
  <si>
    <t>10÷2</t>
  </si>
  <si>
    <t>0.3×0.3×10</t>
  </si>
  <si>
    <t>((0.105×0.105+0.075×0.075)÷2×0.45-0.0508×0.0508×3.14÷4×0.2)×5</t>
  </si>
  <si>
    <t>0.3×0.3×10</t>
  </si>
  <si>
    <t>0.3×0.3×0.03×10</t>
  </si>
  <si>
    <t>((0.125×0.125+0.095×0.095)÷2×0.45-0.0508×0.0508×3.14÷4×0.3)×5</t>
  </si>
  <si>
    <t>((0.105×0.105+0.075×0.075)÷2×0.45-0.0508×0.0508×3.14÷4×0.3)×5</t>
  </si>
  <si>
    <t>0.35×0.35×10</t>
  </si>
  <si>
    <t>m3</t>
  </si>
  <si>
    <t>(0.4×0.4×0.1+0.3×0.3×0.4)×2×10</t>
  </si>
  <si>
    <t>4.9-1.0</t>
  </si>
  <si>
    <t>(0.3×0.3×0.4-0.0605×0.0605×3.14÷4×0.2)×2×10</t>
  </si>
  <si>
    <t>0.3×0.4×4×2×10</t>
  </si>
  <si>
    <t>(0.165×0.165×3.14÷4×0.5-0.0605×0.0605×3.14÷4×0.3)×5</t>
  </si>
  <si>
    <t>0.4×0.4×10</t>
  </si>
  <si>
    <t>0.4×0.4×10</t>
  </si>
  <si>
    <t>フェンス</t>
  </si>
  <si>
    <t xml:space="preserve">m当り </t>
  </si>
  <si>
    <t>10÷2</t>
  </si>
  <si>
    <t>(0.165×0.165×3.14÷4×0.6-0.0605×0.0605×3.14÷4×0.35)×5</t>
  </si>
  <si>
    <t>(0.165×0.165×3.14÷4×0.6-0.0605×0.0605×3.14÷4×0.3)×5</t>
  </si>
  <si>
    <t>フェンス基礎（300×300×700、φ60.5）</t>
  </si>
  <si>
    <t>(0.18+0.4)×(0.18+0.4)×0.58×10</t>
  </si>
  <si>
    <t>2.0-0.2</t>
  </si>
  <si>
    <t>(0.2+0.4)×(0.2+0.4)×0.58×10</t>
  </si>
  <si>
    <t>2.1-0.3</t>
  </si>
  <si>
    <t>(0.25+0.4)×(0.25+0.4)×0.58×10</t>
  </si>
  <si>
    <t>2.5-0.4</t>
  </si>
  <si>
    <t>(0.25+0.4)×(0.25+0.4)×0.63×10</t>
  </si>
  <si>
    <t>2.7-0.5</t>
  </si>
  <si>
    <t>(0.3+0.4)×(0.3+0.4)×0.63×10</t>
  </si>
  <si>
    <t>(0.3+0.4)×(0.3+0.4)×0.73×10</t>
  </si>
  <si>
    <t xml:space="preserve">ヶ所当り </t>
  </si>
  <si>
    <t>（中間主柱１０本当り）</t>
  </si>
  <si>
    <t>(0.08×0.08×3.14÷4×0.2-0.0605×0.0605×3.14÷4×0.2)×10</t>
  </si>
  <si>
    <t>（柱１０本当り）</t>
  </si>
  <si>
    <t>((0.3+0.4)×(0.3+0.4)×0.5)×10</t>
  </si>
  <si>
    <t>(0.4×0.4×0.1+0.3×0.3×0.4)×10</t>
  </si>
  <si>
    <t>0.3×0.4×4×10</t>
  </si>
  <si>
    <t>(0.3×0.3×0.4-0.0605×0.0605×3.14÷4×0.2)×10</t>
  </si>
  <si>
    <t>2.5-0.5</t>
  </si>
  <si>
    <t>3.6-0.7</t>
  </si>
  <si>
    <t>(0.3+0.4)×(0.3+0.4)×0.83×10</t>
  </si>
  <si>
    <t>4.1-0.8</t>
  </si>
  <si>
    <t>(0.165×0.165×3.14÷4×0.7-0.0605×0.0605×3.14÷4×0.35)×5</t>
  </si>
  <si>
    <t>(0.165×0.165×3.14÷4×0.7-0.0605×0.0605×3.14÷4×0.3)×5</t>
  </si>
  <si>
    <t>フェンス</t>
  </si>
  <si>
    <t xml:space="preserve">m当り </t>
  </si>
  <si>
    <t>10÷2</t>
  </si>
  <si>
    <t>(0.4+0.4)×(0.4+0.4)×0.73×10</t>
  </si>
  <si>
    <t>4.7-1.3</t>
  </si>
  <si>
    <t>0.5×0.5×10</t>
  </si>
  <si>
    <t>　　NF-400,400C,400[A],400C[A]</t>
  </si>
  <si>
    <t>0.6×0.6×3.14÷4×1.05×10</t>
  </si>
  <si>
    <t>(0.6×0.6×3.14÷4×0.95+0.2×0.2×3.14÷4×0.1)×10</t>
  </si>
  <si>
    <t>3.0-2.7</t>
  </si>
  <si>
    <t>0.6×0.6×3.14÷4×10</t>
  </si>
  <si>
    <t>0.8×10</t>
  </si>
  <si>
    <t>(0.2×0.2-0.0605×0.0605)×3.14÷4×0.1×5</t>
  </si>
  <si>
    <t>(0.2×0.2-0.0605×0.0605)×3.14÷4×0.1×5</t>
  </si>
  <si>
    <t>0.6×0.6×3.14÷4×1.15×10</t>
  </si>
  <si>
    <t>(0.6×0.6×3.14÷4×1.05+0.2×0.2×3.14÷4×0.1)×10</t>
  </si>
  <si>
    <t>(0.6+0.4)×(0.1+0.4)×0.5×10÷1.5</t>
  </si>
  <si>
    <t>0.1×0.1×3.14÷4×(0.6+0.5)×10÷1.5</t>
  </si>
  <si>
    <t>1.7-0.1</t>
  </si>
  <si>
    <t>(0.2+0.4)×(0.3+0.4)×0.33×10</t>
  </si>
  <si>
    <t>1.4-0.3</t>
  </si>
  <si>
    <t>0.3×0.4×10</t>
  </si>
  <si>
    <t>0.19×0.35×10</t>
  </si>
  <si>
    <t>0.19×0.65×10</t>
  </si>
  <si>
    <t>0.3×0.4×10</t>
  </si>
  <si>
    <t>0.2×0.3×0.03×10</t>
  </si>
  <si>
    <t>0.25×0.25×0.03×10</t>
  </si>
  <si>
    <t xml:space="preserve">m当り </t>
  </si>
  <si>
    <t xml:space="preserve">個当り </t>
  </si>
  <si>
    <t>0.28×0.28×10</t>
  </si>
  <si>
    <t xml:space="preserve">m当り </t>
  </si>
  <si>
    <t>((0.105×0.105+0.075×0.075)÷2×0.45-0.0508×0.0508×3.14÷4×0.25)×5</t>
  </si>
  <si>
    <t>10÷2</t>
  </si>
  <si>
    <t>0.18×0.18×0.03×10</t>
  </si>
  <si>
    <t>(0.28×0.28×0.1+0.18×0.18×0.48)×10</t>
  </si>
  <si>
    <t>0.2×0.2×0.03×10</t>
  </si>
  <si>
    <t>(0.3×0.3×0.1+0.2×0.2×0.48)×10</t>
  </si>
  <si>
    <t>(0.35×0.35×0.1+0.25×0.25×0.48)×10</t>
  </si>
  <si>
    <t>(0.35×0.35×0.1+0.25×0.25×0.53)×10</t>
  </si>
  <si>
    <t>(0.4×0.4×0.1+0.3×0.3×0.53)×10</t>
  </si>
  <si>
    <t>3.1-0.6</t>
  </si>
  <si>
    <t>(0.4×0.4×0.1+0.3×0.3×0.63)×10</t>
  </si>
  <si>
    <t>(0.4×0.4×0.1+0.3×0.3×0.73)×10</t>
  </si>
  <si>
    <t>(0.5×0.5×0.1+0.4×0.4×0.63)×10</t>
  </si>
  <si>
    <t>0.885×0.42×10</t>
  </si>
  <si>
    <t>(0.485×0.1+0.435×0.07+(0.435+0.1)÷2×0.1+（0.15×1.044+0.25×1.044）÷2×0.35)×10</t>
  </si>
  <si>
    <t>3.7-1.8</t>
  </si>
  <si>
    <t>0.485×10</t>
  </si>
  <si>
    <t>(0.07+0.17)×10</t>
  </si>
  <si>
    <t>0.750×1.044×10</t>
  </si>
  <si>
    <t>(0.07×0.435+(0.1+0.435)÷2×0.1)×10</t>
  </si>
  <si>
    <t>0.17×7.83</t>
  </si>
  <si>
    <t>0.783×10</t>
  </si>
  <si>
    <t>0.6×1.044×10÷2×0.36</t>
  </si>
  <si>
    <t>0.6×1.044×10÷2×0.1×0.1</t>
  </si>
  <si>
    <t>0.35×0.783+0.435×0.07+(0.435+0.1)÷2×0.1</t>
  </si>
  <si>
    <t>1.05×1.044×10</t>
  </si>
  <si>
    <t>0.17×10.96</t>
  </si>
  <si>
    <t>1.096×10</t>
  </si>
  <si>
    <t>0.9×1.044×10÷2.0×0.36</t>
  </si>
  <si>
    <t>0.9×1.044×10÷2.0×0.1×0.1</t>
  </si>
  <si>
    <t>0.35×1.044+0.435×0.07+(0.435+0.1)÷2×0.1</t>
  </si>
  <si>
    <t>フェンス基礎（250×250×450、φ50.8）</t>
  </si>
  <si>
    <t>フェンス基礎（φ600×800、φ60.5）</t>
  </si>
  <si>
    <t>フェンス基礎（φ600×900、φ60.5）</t>
  </si>
  <si>
    <t>フェンス基礎（φ800×1000、φ89.1）</t>
  </si>
  <si>
    <t>TF 鉄線柵</t>
  </si>
  <si>
    <t>MRF 木ﾛｰﾌﾟ柵</t>
  </si>
  <si>
    <t>(0.5×0.5×0.1+0.2×0.2×3.14×0.13+0.125×0.125×3.14×0.07)×10</t>
  </si>
  <si>
    <t>0.13×10</t>
  </si>
  <si>
    <t>フェンス基礎（200×200×450、φ50.8）</t>
  </si>
  <si>
    <t>フェンス基礎（250×250×500、φ60.5）</t>
  </si>
  <si>
    <t>フェンス基礎（300×300×500、φ60.5）</t>
  </si>
  <si>
    <t>フェンス基礎（φ600×1000、φ60.5）</t>
  </si>
  <si>
    <t>フェンス基礎（φ800×1100、φ89.1）</t>
  </si>
  <si>
    <t>TE 手摺</t>
  </si>
  <si>
    <t>　　NF-90～150,90C～150C、KF-90～180、RF-90～150
　　NFK-90～150,90C～150C、KFK-90～150</t>
  </si>
  <si>
    <t>((0.105×0.105+0.075×0.075)÷2×0.45-0.0508×0.0508×3.14÷4×0.25)×5</t>
  </si>
  <si>
    <t>　　NF-180,180C,180[A],180C[A]、KF-180[A]、RF-180
　　NFK-180,180C,KFK-180</t>
  </si>
  <si>
    <t>((0.125×0.125+0.095×0.095)÷2×0.45-0.0508×0.0508×3.14÷4×0.3)×5</t>
  </si>
  <si>
    <t>　　NF-200,200C,200[A],200C[A]、KF-200,200[A],180[B]、RF-200,180[A],200[A]
　　NFK-180[A],180C[A],200,200C,180[A],180[B],200,200[A]</t>
  </si>
  <si>
    <t>RF-300B</t>
  </si>
  <si>
    <t>NF-300[B]，300C[B]</t>
  </si>
  <si>
    <t>RF-300，300[A]</t>
  </si>
  <si>
    <t>KF-300[B]</t>
  </si>
  <si>
    <t>NF-300[A]，300C[A]，250[B]，250C[B]</t>
  </si>
  <si>
    <t>RF-240B</t>
  </si>
  <si>
    <t>KF-300，300[A]，240[B]</t>
  </si>
  <si>
    <t>NF-300，300C，200[B]，200C[B]</t>
  </si>
  <si>
    <t>((0.13×0.13+0.1×0.1)÷2×0.45-0.0508×0.0508×3.14÷4×0.3)×5</t>
  </si>
  <si>
    <t>　　KF-200[B],KFK-200[B]</t>
  </si>
  <si>
    <t>　　RF-180[B],NFK-200[A],200C[A]</t>
  </si>
  <si>
    <t>　　NF-250,250C,250[A],250C[A],180[B],180C[B]、KF-240,240[A]
　　RF-240,240[A],200[B],KFK-240</t>
  </si>
  <si>
    <t>(0.165×0.165×3.14÷4×0.5-0.0605×0.0605×3.14÷4×0.3)×5</t>
  </si>
  <si>
    <t>フェンス基礎（300×300×600、φ60.5）</t>
  </si>
  <si>
    <t>　　NF-300,300C,200[B],200C[B]、KF-300,300[A],240[B]、RF-240[B]
　　NFK-200[B],200C[B],250,250C,250[A],250C[A],KFK-240[A],240[B]</t>
  </si>
  <si>
    <t>　　NF-300[A],300C[A],250[B],250C[B]、KF-300[B]、RF-300,300[A]
　　KFK-300[A],300[B]</t>
  </si>
  <si>
    <t>フェンス基礎（350×350×600、φ60.5）</t>
  </si>
  <si>
    <t>　　NFK-300,300C,KFK-300</t>
  </si>
  <si>
    <t>(0.35+0.4)×(0.35+0.4)×0.73×10</t>
  </si>
  <si>
    <t>(0.45×0.45×0.1+0.35×0.35×0.63)×10</t>
  </si>
  <si>
    <t>4.1-1.0</t>
  </si>
  <si>
    <t>0.35×0.35×0.03×10</t>
  </si>
  <si>
    <t>　　NF-300[B],300C[B]、RF-300[B],NFK-250[B],250C[B],300[A],300C[A]</t>
  </si>
  <si>
    <t>フェンス基礎（400×400×600、φ60.5）</t>
  </si>
  <si>
    <t>フェンス基礎（400×400×700、φ60.5）</t>
  </si>
  <si>
    <t>　　NFK-300[B],300C[B]</t>
  </si>
  <si>
    <t>(0.4+0.4)×(0.4+0.4)×0.83×10</t>
  </si>
  <si>
    <t>(0.5×0.5×0.1+0.4×0.4×0.73)×10</t>
  </si>
  <si>
    <t>5.3-1.4</t>
  </si>
  <si>
    <t>　　KF-400,400[A],KFK-400-a,KFK-400-b</t>
  </si>
  <si>
    <t>0.6×0.6×3.14÷4×1.2×10</t>
  </si>
  <si>
    <t>(0.6×0.6×3.14÷4×1.1+0.2×0.2×3.14÷4×0.1)×10</t>
  </si>
  <si>
    <t>3.4-3.1</t>
  </si>
  <si>
    <t>0.95×10</t>
  </si>
  <si>
    <t>フェンス基礎（φ600×950、φ60.5）</t>
  </si>
  <si>
    <t>(0.6×0.6×3.14÷4×0.95-0.0605×0.0605×3.14÷4×0.5)×10</t>
  </si>
  <si>
    <t>　　NFK-400-a,400-b,400C-a,400C-b,KFK-400-a[A],400-b[A]</t>
  </si>
  <si>
    <t>フェンス基礎（φ600×1100、φ60.5）</t>
  </si>
  <si>
    <t>　　NFK-400-a[A],400-b[A],400C-a[A],400C-b[A],KFK-400-a[B],400-b[B]</t>
  </si>
  <si>
    <t>0.6×0.6×3.14÷4×1.35×10</t>
  </si>
  <si>
    <t>(0.6×0.6×3.14÷4×1.25+0.2×0.2×3.14÷4×0.1)×10</t>
  </si>
  <si>
    <t>(0.6×0.6×3.14÷4×1.15+0.2×0.2×3.14÷4×0.1)×10</t>
  </si>
  <si>
    <t>3.5-3.3</t>
  </si>
  <si>
    <t>(0.6×0.6×3.14÷4×1.1-0.0605×0.0605×3.14÷4×0.5)×10</t>
  </si>
  <si>
    <t>フェンス基礎（φ800×1000、φ89.1） (2)</t>
  </si>
  <si>
    <t>　　NFK-400-a[B],400-b[B],400C-a[B],400C-b[B]</t>
  </si>
  <si>
    <t>(0.8×0.8×3.14÷4×1.0-0.0891×0.0891×3.14÷4×0.55)×10</t>
  </si>
  <si>
    <t>フェンス基礎（φ600×1100、φ89.1）</t>
  </si>
  <si>
    <t>フェンス基礎（φ800×1000、φ89.1） (3)</t>
  </si>
  <si>
    <t>(0.8×0.8×3.14÷4×1.0-0.0891×0.0891×3.14÷4×0.6)×10</t>
  </si>
  <si>
    <t>　　NFK-500-a,500-b,500C-a,500C-b</t>
  </si>
  <si>
    <t>　　KFK-500-a,500-b,500-a[A],500-b[A]</t>
  </si>
  <si>
    <t>フェンス基礎（φ800×1000、φ89.1） (4)</t>
  </si>
  <si>
    <t>(0.8×0.8×3.14÷4×1.1-0.0891×0.0891×3.14÷4×0.6)×10</t>
  </si>
  <si>
    <t>　　KFK-500-a[B],500-b[B]</t>
  </si>
  <si>
    <t>　　NFK-500-a[A],500-b[A],500C-a[A],500C-b[A],
　　　　　 500-a[B],500-b[B],500C-b[B]</t>
  </si>
  <si>
    <t>0.8×0.8×3.14÷4×1.45×10</t>
  </si>
  <si>
    <t>(0.8×0.8×3.14÷4×1.35+0.2×0.2×3.14÷4×0.1)×10</t>
  </si>
  <si>
    <t>7.3-6.8</t>
  </si>
  <si>
    <t>1.2×10</t>
  </si>
  <si>
    <t>10÷2.0</t>
  </si>
  <si>
    <t>(0.2×0.2-0.0891×0.0891)×3.14÷4×0.1×10÷2.0</t>
  </si>
  <si>
    <t>　　NFK-500C-a[B]</t>
  </si>
  <si>
    <t>10÷1.8</t>
  </si>
  <si>
    <t>フェンス基礎（φ800×1200、φ89.1） (2)</t>
  </si>
  <si>
    <t>(0.2×0.2-0.0891×0.0891)×3.14÷4×0.1×10÷1.8</t>
  </si>
  <si>
    <t>フェンス基礎（φ800×1200、φ89.1）</t>
  </si>
  <si>
    <t>フェンス基礎（φ800×1100、φ89.1） (2)</t>
  </si>
  <si>
    <t>SD-60 雑割石積</t>
  </si>
  <si>
    <t>SD-90 雑割石積</t>
  </si>
  <si>
    <t>床堀</t>
  </si>
  <si>
    <t>埋戻</t>
  </si>
  <si>
    <t xml:space="preserve"> </t>
  </si>
  <si>
    <t>残土処理</t>
  </si>
  <si>
    <t>基面整正</t>
  </si>
  <si>
    <t>再生ｸﾗｯｼｬｰﾗﾝ基礎</t>
  </si>
  <si>
    <t>(RC-40) t=100</t>
  </si>
  <si>
    <t>紙製</t>
  </si>
  <si>
    <t>ｺﾝｸﾘｰﾄ</t>
  </si>
  <si>
    <t>18-8-25</t>
  </si>
  <si>
    <t>擬石ブロック</t>
  </si>
  <si>
    <t>1:3</t>
  </si>
  <si>
    <t>本体</t>
  </si>
  <si>
    <t>円形型枠　φ400</t>
  </si>
  <si>
    <t>φ250×600　65kg/基</t>
  </si>
  <si>
    <t>均しﾓﾙﾀﾙ</t>
  </si>
  <si>
    <t>1:3（空練）</t>
  </si>
  <si>
    <t>本体（固定式）</t>
  </si>
  <si>
    <t>擬石車止め</t>
  </si>
  <si>
    <t>円形型枠</t>
  </si>
  <si>
    <t>φ300　紙製</t>
  </si>
  <si>
    <t>車止め</t>
  </si>
  <si>
    <t>引抜式　H=700</t>
  </si>
  <si>
    <t>固定式　H=700</t>
  </si>
  <si>
    <t>φ400　紙製</t>
  </si>
  <si>
    <t>引抜式　H=800</t>
  </si>
  <si>
    <t>固定式　H=800</t>
  </si>
  <si>
    <t>木ﾛｰﾌﾟ柵　本体</t>
  </si>
  <si>
    <t>ﾛｰﾌﾟ含む</t>
  </si>
  <si>
    <t>杉丸太</t>
  </si>
  <si>
    <t>末口径φ75　L=2000</t>
  </si>
  <si>
    <t>鉄線</t>
  </si>
  <si>
    <t>#12</t>
  </si>
  <si>
    <t>雑材料</t>
  </si>
  <si>
    <t>型枠</t>
  </si>
  <si>
    <t>充填モルタル</t>
  </si>
  <si>
    <t>ｵｰｶﾞ掘削</t>
  </si>
  <si>
    <t>(RC-40) t=150</t>
  </si>
  <si>
    <t>φ800･鋼製</t>
  </si>
  <si>
    <t>ﾌｪﾝｽ</t>
  </si>
  <si>
    <t>ﾌｪﾝｽ基礎</t>
  </si>
  <si>
    <t>モルタル</t>
  </si>
  <si>
    <t>KF-500,500[A],500[B]、RF-500,500[A]</t>
  </si>
  <si>
    <t>φ600･鋼製</t>
  </si>
  <si>
    <t>コンクリート基礎ブロック</t>
  </si>
  <si>
    <t>400×400×700</t>
  </si>
  <si>
    <t>NFK-300[B],300C[B]</t>
  </si>
  <si>
    <t>埋込深さ　h=350</t>
  </si>
  <si>
    <t>400×400×600</t>
  </si>
  <si>
    <t>NFK-250[B],250C[B],300[A],300C[A]</t>
  </si>
  <si>
    <t>350×350×600</t>
  </si>
  <si>
    <t>NFK-300,300C</t>
  </si>
  <si>
    <t>KFK-300</t>
  </si>
  <si>
    <t>埋込深さ　h=300</t>
  </si>
  <si>
    <t>300×300×700</t>
  </si>
  <si>
    <t>KFK-300[A],300[B]</t>
  </si>
  <si>
    <t>300×300×600</t>
  </si>
  <si>
    <t>NFK-200[B],200C[B],250,250C,250[A],250C[A]</t>
  </si>
  <si>
    <t>KFK-240[A],240[B]</t>
  </si>
  <si>
    <t>300×300×500</t>
  </si>
  <si>
    <t>NF-250，250C，250[A]，250C[A]</t>
  </si>
  <si>
    <t>NF-180[B]，180C[B]</t>
  </si>
  <si>
    <t>KF-240，240[A]</t>
  </si>
  <si>
    <t>RF-240，240[A]，200[B]</t>
  </si>
  <si>
    <t>KFK-240</t>
  </si>
  <si>
    <t>250×250×500</t>
  </si>
  <si>
    <t>RF-180B</t>
  </si>
  <si>
    <t>NFK-200[A].200C[A]</t>
  </si>
  <si>
    <t>KF-200B</t>
  </si>
  <si>
    <t>KFK-200[B]</t>
  </si>
  <si>
    <t>250×250×450</t>
  </si>
  <si>
    <t>NF-200，200C，200[A]，200C[A]</t>
  </si>
  <si>
    <t>KF-200，200[A]，180[B]</t>
  </si>
  <si>
    <t>RF-200，180[A]，200[A]</t>
  </si>
  <si>
    <t>NFK-180[A],180C[A],200,200C</t>
  </si>
  <si>
    <t>KFK-180[A],180[B],200,200[A]</t>
  </si>
  <si>
    <t>200×200×450</t>
  </si>
  <si>
    <t>NF-180，180C，180[A]，180C[A]</t>
  </si>
  <si>
    <t>KF-180[A]</t>
  </si>
  <si>
    <t>RF-180</t>
  </si>
  <si>
    <t>NFK-180,180C</t>
  </si>
  <si>
    <t>KFK-180</t>
  </si>
  <si>
    <t>180×180×450</t>
  </si>
  <si>
    <t>NF-90～120，90C～120C</t>
  </si>
  <si>
    <t>埋込深さ　h=200</t>
  </si>
  <si>
    <t>KF-90～120</t>
  </si>
  <si>
    <t>RF-90～120</t>
  </si>
  <si>
    <t>NF-150，150C</t>
  </si>
  <si>
    <t>埋込深さ　h=250</t>
  </si>
  <si>
    <t>KF-150</t>
  </si>
  <si>
    <t>RF-150</t>
  </si>
  <si>
    <t>KF-180</t>
  </si>
  <si>
    <t>NFK-90～120，90C～120C</t>
  </si>
  <si>
    <t>KFK-90～120</t>
  </si>
  <si>
    <t>(RC-40)</t>
  </si>
  <si>
    <t>裏込砕石</t>
  </si>
  <si>
    <t>RC-40</t>
  </si>
  <si>
    <t>水抜管</t>
  </si>
  <si>
    <t>VUφ50</t>
  </si>
  <si>
    <t>吸出防止材</t>
  </si>
  <si>
    <t>100□</t>
  </si>
  <si>
    <t>簡易型枠</t>
  </si>
  <si>
    <t>基礎コンクリート</t>
  </si>
  <si>
    <t>胴込コンクリート</t>
  </si>
  <si>
    <t>雑割石</t>
  </si>
  <si>
    <t>控350</t>
  </si>
  <si>
    <t>伸縮目地</t>
  </si>
  <si>
    <t>m2</t>
  </si>
  <si>
    <t>組</t>
  </si>
  <si>
    <t>個</t>
  </si>
  <si>
    <t>基</t>
  </si>
  <si>
    <t>m</t>
  </si>
  <si>
    <t>本</t>
  </si>
  <si>
    <t>kg</t>
  </si>
  <si>
    <t>式</t>
  </si>
  <si>
    <t>GKT-C1 車止め</t>
  </si>
  <si>
    <t>LS-25 ﾌﾟﾚｷｬｽﾄＬ型側溝</t>
  </si>
  <si>
    <t>(0.45+0.4)×0.215×10</t>
  </si>
  <si>
    <t>1.8-1.0</t>
  </si>
  <si>
    <t>(0.48×0.1+0.45×0.115)×10</t>
  </si>
  <si>
    <t>0.48×10</t>
  </si>
  <si>
    <t>0.48×10</t>
  </si>
  <si>
    <t>0.45×0.03×10</t>
  </si>
  <si>
    <t>鉄筋コンクリートＬ型ブロック</t>
  </si>
  <si>
    <t>本体　JISA5306</t>
  </si>
  <si>
    <t>SS-30 ﾌﾟﾚｷｬｽﾄ皿型側溝</t>
  </si>
  <si>
    <t>(0.4+0.4)×0.24×10</t>
  </si>
  <si>
    <t>1.9-1.0</t>
  </si>
  <si>
    <t>0.4×0.24×10</t>
  </si>
  <si>
    <t>0.4×10</t>
  </si>
  <si>
    <t>0.4×10</t>
  </si>
  <si>
    <t>0.4×0.03×10</t>
  </si>
  <si>
    <t>鉄筋ｺﾝｸﾘｰﾄ皿型ﾌﾞﾛｯｸ</t>
  </si>
  <si>
    <t>SM-30A 皿型側溝桝</t>
  </si>
  <si>
    <t>(0.55+0.4)×(0.75+0.4)×0.65×10</t>
  </si>
  <si>
    <t>7.1-2.5</t>
  </si>
  <si>
    <t>(0.65×0.85×0.1+(0.55×0.75×0.39+0.4×0.6×0.16))×10</t>
  </si>
  <si>
    <t>0.65×0.85×10</t>
  </si>
  <si>
    <t>((0.55+0.75)×0.39+(0.25+0.45)×0.29-(0.0825×0.0825×3.14))×2×10</t>
  </si>
  <si>
    <t>(0.55×0.75×0.39-(0.25×0.45×0.29+0.0825×0.0825×3.14×0.15))×10</t>
  </si>
  <si>
    <t>(0.4×0.6-0.25×0.45)×0.01×10</t>
  </si>
  <si>
    <t>ｺﾝｸﾘｰﾄﾌﾞﾛｯｸ縁塊</t>
  </si>
  <si>
    <t>蓋共</t>
  </si>
  <si>
    <t>（ａ：小叩き、ｂ：洗い出し）</t>
  </si>
  <si>
    <t>SM-30B 皿型側溝桝</t>
  </si>
  <si>
    <t>(0.55+0.4)×(0.75+0.4)×0.75×10</t>
  </si>
  <si>
    <t>8.2-3.0</t>
  </si>
  <si>
    <t>(0.65×0.85×0.1+(0.55×0.75×0.49+0.4×0.6×0.16))×10</t>
  </si>
  <si>
    <t>0.65×0.85×10</t>
  </si>
  <si>
    <t>((0.55+0.75)×0.49+(0.25+0.45)×0.39-(0.0825×0.0825×3.14))×2×10</t>
  </si>
  <si>
    <t>(0.55×0.75×0.49-(0.25×0.45×0.39+0.0825×0.0825×3.14×0.15))×10</t>
  </si>
  <si>
    <t>(0.4×0.6-0.25×0.45)×0.01×10</t>
  </si>
  <si>
    <t>SM-30C 皿型側溝桝</t>
  </si>
  <si>
    <t>(0.55+1.0)×(0.75+1.0)×0.85×10</t>
  </si>
  <si>
    <t>23.1-3.4</t>
  </si>
  <si>
    <t>(0.65×0.85×0.1+(0.55×0.75×0.59+0.4×0.6×0.16))×10</t>
  </si>
  <si>
    <t>((0.55+0.75)×0.59+(0.25+0.45)×0.49-(0.0825×0.0825×3.14))×2×10</t>
  </si>
  <si>
    <t>(0.55×0.75×0.59-(0.25×0.45×0.49+0.0825×0.0825×3.14×0.15))×10</t>
  </si>
  <si>
    <t>（ａ：小叩き、ｂ：洗い出し）</t>
  </si>
  <si>
    <t xml:space="preserve"> UA-18 ﾌﾟﾚｷｬｽﾄU型側溝</t>
  </si>
  <si>
    <t xml:space="preserve">m当り </t>
  </si>
  <si>
    <t>規　　格</t>
  </si>
  <si>
    <t>(0.25+0.4)×0.35×10</t>
  </si>
  <si>
    <t>2.3-1.0</t>
  </si>
  <si>
    <t>(0.38×0.1+0.18×0.03+0.25×0.22-0.04×0.04×0.5×2)×10</t>
  </si>
  <si>
    <t>0.38×10</t>
  </si>
  <si>
    <t>0.38×10</t>
  </si>
  <si>
    <t>0.38×0.1×10</t>
  </si>
  <si>
    <t>0.38×0.1×10</t>
  </si>
  <si>
    <t>鉄筋ｺﾝｸﾘｰﾄU型ﾌﾞﾛｯｸ</t>
  </si>
  <si>
    <t>JISA 5305  U-180</t>
  </si>
  <si>
    <t>（※基礎ｸﾗｯｼｬｰﾗﾝの補正（1.2）は積算システム内で行う）</t>
  </si>
  <si>
    <t xml:space="preserve"> UA-24 ﾌﾟﾚｷｬｽﾄU型側溝</t>
  </si>
  <si>
    <t>(0.33+0.4)×0.42×10</t>
  </si>
  <si>
    <t>3.1-1.4</t>
  </si>
  <si>
    <t>(0.44×0.1+0.24×0.03+0.33×0.29-0.05×0.05×0.5×2)×10</t>
  </si>
  <si>
    <t>0.44×10</t>
  </si>
  <si>
    <t>0.44×0.1×10</t>
  </si>
  <si>
    <t>JISA 5305  U-240</t>
  </si>
  <si>
    <t xml:space="preserve"> UA-30 ﾌﾟﾚｷｬｽﾄU型側溝</t>
  </si>
  <si>
    <t>(0.4+0.4)×0.49×10</t>
  </si>
  <si>
    <t>3.9-2.0</t>
  </si>
  <si>
    <t>(0.50×0.1+0.30×0.03+0.4×0.36-0.06×0.06×0.5×2)×10</t>
  </si>
  <si>
    <t>0.50×10</t>
  </si>
  <si>
    <t>0.50×0.1×10</t>
  </si>
  <si>
    <t>JISA 5305  U-300B</t>
  </si>
  <si>
    <t xml:space="preserve"> UA-36 ﾌﾟﾚｷｬｽﾄU型側溝</t>
  </si>
  <si>
    <t>(0.46+0.4)×0.555×10</t>
  </si>
  <si>
    <t>4.8-2.6</t>
  </si>
  <si>
    <t>(0.56×0.1+0.36×0.03+0.46×0.425-0.065×0.065×0.5×2)×10</t>
  </si>
  <si>
    <t>0.56×10</t>
  </si>
  <si>
    <t>0.56×10</t>
  </si>
  <si>
    <t>0.56×0.1×10</t>
  </si>
  <si>
    <t>JISA 5305  U-360B   l =600</t>
  </si>
  <si>
    <t xml:space="preserve"> UB-18 ﾌﾟﾚｷｬｽﾄU型側溝</t>
  </si>
  <si>
    <t xml:space="preserve">m当り </t>
  </si>
  <si>
    <t>(0.25+0.40)×0.44×10</t>
  </si>
  <si>
    <t>2.9-1.3</t>
  </si>
  <si>
    <t>(0.38×0.2+0.18×0.02+0.25×0.22-0.04×0.04×0.5×2)×10</t>
  </si>
  <si>
    <t>0.38×0.1×10</t>
  </si>
  <si>
    <t>0.1×2×10</t>
  </si>
  <si>
    <t xml:space="preserve"> UB-24 ﾌﾟﾚｷｬｽﾄU型側溝</t>
  </si>
  <si>
    <t xml:space="preserve">m当り </t>
  </si>
  <si>
    <t>規　　格</t>
  </si>
  <si>
    <t>(0.33+0.40)×0.51×10</t>
  </si>
  <si>
    <t>3.7-1.9</t>
  </si>
  <si>
    <t>(0.44×0.2+0.24×0.02+0.33×0.29-0.05×0.05×0.5×2)×10</t>
  </si>
  <si>
    <t xml:space="preserve"> UB-30 ﾌﾟﾚｷｬｽﾄU型側溝</t>
  </si>
  <si>
    <t>(0.40+0.40)×0.58×10</t>
  </si>
  <si>
    <t>4.6-2.5</t>
  </si>
  <si>
    <t>(0.50×0.2+0.30×0.02+0.4×0.36-0.06×0.06×0.5×2)×10</t>
  </si>
  <si>
    <t xml:space="preserve"> UB-36 ﾌﾟﾚｷｬｽﾄU型側溝</t>
  </si>
  <si>
    <t>(0.46+0.40)×0.645×10</t>
  </si>
  <si>
    <t>5.5-3.1</t>
  </si>
  <si>
    <t>(0.56×0.2+0.36×0.02+0.46×0.425-0.065×0.065×0.5×2)×10</t>
  </si>
  <si>
    <t xml:space="preserve"> UA-18-T ﾌﾟﾚｷｬｽﾄU型側溝（片面透水型）</t>
  </si>
  <si>
    <t>規　　格</t>
  </si>
  <si>
    <t>2.3-1.1</t>
  </si>
  <si>
    <t>(0.38×0.1+0.18×0.03+0.25×0.22-0.04×0.04×0.5×2+0.1×0.1)×10</t>
  </si>
  <si>
    <t>0.38×10</t>
  </si>
  <si>
    <t>片面透水型</t>
  </si>
  <si>
    <t>洗い砂</t>
  </si>
  <si>
    <t>0.1×0.1×10÷0.9</t>
  </si>
  <si>
    <t>0.1×0.1×10÷0.9</t>
  </si>
  <si>
    <t>人力土工</t>
  </si>
  <si>
    <t>0.1×0.1×10</t>
  </si>
  <si>
    <t>0.1×0.1×10</t>
  </si>
  <si>
    <t xml:space="preserve"> UA-24-T ﾌﾟﾚｷｬｽﾄU型側溝（片面透水型）</t>
  </si>
  <si>
    <t>(0.33+0.4)×0.42×10</t>
  </si>
  <si>
    <t>3.1-1.6</t>
  </si>
  <si>
    <t>(0.44×0.1+0.24×0.03+0.33×0.29-0.05×0.05×0.5×2+(0.1+0.104)÷2×0.16)×10</t>
  </si>
  <si>
    <t>0.44×10</t>
  </si>
  <si>
    <t>0.44×0.1×10</t>
  </si>
  <si>
    <t>(0.1+0.104)÷2×0.16×10÷0.9</t>
  </si>
  <si>
    <t>(0.1+0.104)÷2×0.16×10</t>
  </si>
  <si>
    <t>(0.1+0.104)÷2×0.16×10</t>
  </si>
  <si>
    <t xml:space="preserve"> UA-30-T ﾌﾟﾚｷｬｽﾄU型側溝（片面透水型）</t>
  </si>
  <si>
    <t>3.9-2.2</t>
  </si>
  <si>
    <t>(0.50×0.1+0.30×0.03+0.4×0.36-0.06×0.06×0.5×2+(0.1+0.108)÷2×0.21)×10</t>
  </si>
  <si>
    <t>(0.1+0.108)÷2×0.21×10÷0.9</t>
  </si>
  <si>
    <t>(0.1+0.108)÷2×0.21×10</t>
  </si>
  <si>
    <t xml:space="preserve"> UA-36-T ﾌﾟﾚｷｬｽﾄU型側溝（片面透水型）</t>
  </si>
  <si>
    <t>(0.46+0.4)×0.555×10</t>
  </si>
  <si>
    <t>4.8-2.9</t>
  </si>
  <si>
    <t>(0.56×0.1+0.36×0.03+0.46×0.425-0.065×0.065×0.5×2+(0.1+0.108)÷2×0.27)×10</t>
  </si>
  <si>
    <t>(0.1+0.108)÷2×0.27×10÷0.9</t>
  </si>
  <si>
    <t>(0.1+0.108)÷2×0.27×10</t>
  </si>
  <si>
    <t xml:space="preserve"> UB-18-T ﾌﾟﾚｷｬｽﾄU型側溝（片面透水型）</t>
  </si>
  <si>
    <t>2.9-1.4</t>
  </si>
  <si>
    <t>(0.38×0.2+0.18×0.02+0.25×0.22-0.04×0.04×0.5×2+0.1×0.1)×10</t>
  </si>
  <si>
    <t>0.38×0.1×10</t>
  </si>
  <si>
    <t>0.1×2×10</t>
  </si>
  <si>
    <t>0.38×0.1×10</t>
  </si>
  <si>
    <t xml:space="preserve"> UB-24-T ﾌﾟﾚｷｬｽﾄU型側溝（片面透水型）</t>
  </si>
  <si>
    <t>3.7-2.0</t>
  </si>
  <si>
    <t>(0.44×0.2+0.24×0.02+0.33×0.29-0.05×0.05×0.5×2+(0.1+0.104)÷2×0.16)×10</t>
  </si>
  <si>
    <t xml:space="preserve"> UB-30-T ﾌﾟﾚｷｬｽﾄU型側溝（片面透水型）</t>
  </si>
  <si>
    <t>4.6-2.7</t>
  </si>
  <si>
    <t>(0.50×0.2+0.30×0.02+0.4×0.36-0.06×0.06×0.5×2+(0.1+0.108)÷2×0.21)×10</t>
  </si>
  <si>
    <t>(0.1+0.108)÷2×0.21×10÷0.9</t>
  </si>
  <si>
    <t>(0.1+0.108)÷2×0.21×10</t>
  </si>
  <si>
    <t xml:space="preserve"> UB-36-T ﾌﾟﾚｷｬｽﾄU型側溝（片面透水型）</t>
  </si>
  <si>
    <t>5.5-3.4</t>
  </si>
  <si>
    <t>(0.56×0.2+0.36×0.02+0.46×0.425-0.065×0.065×0.5×2+(0.1+0.108)÷2×0.27)×10</t>
  </si>
  <si>
    <t xml:space="preserve"> UA-18-T2 ﾌﾟﾚｷｬｽﾄU型側溝（両面透水型）</t>
  </si>
  <si>
    <t>2.3-1.2</t>
  </si>
  <si>
    <t>(0.38×0.1+0.18×0.03+0.25×0.22-0.04×0.04×0.5×2+0.1×0.1×2)×10</t>
  </si>
  <si>
    <t>両面透水型</t>
  </si>
  <si>
    <t>0.1×0.1×10×2÷0.9</t>
  </si>
  <si>
    <t>0.1×0.1×10×2</t>
  </si>
  <si>
    <t xml:space="preserve"> UA-24-T2 ﾌﾟﾚｷｬｽﾄU型側溝（両面透水型）</t>
  </si>
  <si>
    <t>(0.33+0.4)×0.42×10</t>
  </si>
  <si>
    <t>3.1-1.8</t>
  </si>
  <si>
    <t>(0.44×0.1+0.24×0.03+0.33×0.29-0.05×0.05×0.5×2+(0.1+0.104)÷2×0.16×2)×10</t>
  </si>
  <si>
    <t>(0.1+0.104)÷2×0.16×10×2÷0.9</t>
  </si>
  <si>
    <t>(0.1+0.104)÷2×0.16×10×2</t>
  </si>
  <si>
    <t xml:space="preserve"> UA-30-T2 ﾌﾟﾚｷｬｽﾄU型側溝（両面透水型）</t>
  </si>
  <si>
    <t>(0.4+0.4)×0.49×10</t>
  </si>
  <si>
    <t>3.9-2.4</t>
  </si>
  <si>
    <t>(0.50×0.1+0.30×0.03+0.4×0.36-0.06×0.06×0.5×2+(0.1+0.108)÷2×0.21×2)×10</t>
  </si>
  <si>
    <t>(0.1+0.108)÷2×0.21×10×2÷0.9</t>
  </si>
  <si>
    <t>(0.1+0.108)÷2×0.21×10×2</t>
  </si>
  <si>
    <t xml:space="preserve"> UA-36-T2 ﾌﾟﾚｷｬｽﾄU型側溝（両面透水型）</t>
  </si>
  <si>
    <t>4.8-3.1</t>
  </si>
  <si>
    <t>(0.56×0.1+0.36×0.03+0.46×0.425-0.065×0.065×0.5×2+(0.1+0.108)÷2×0.27×2)×10</t>
  </si>
  <si>
    <t>0.56×0.1×10</t>
  </si>
  <si>
    <t>(0.1+0.108)÷2×0.27×10×2÷0.9</t>
  </si>
  <si>
    <t>(0.1+0.108)÷2×0.27×10×2</t>
  </si>
  <si>
    <t>(0.1+0.108)÷2×0.27×10×2</t>
  </si>
  <si>
    <t xml:space="preserve"> UB-18-T2 ﾌﾟﾚｷｬｽﾄU型側溝（両面透水型）</t>
  </si>
  <si>
    <t>2.9-1.5</t>
  </si>
  <si>
    <t>(0.38×0.2+0.18×0.02+0.25×0.22-0.04×0.04×0.5×2+0.1×0.1×2)×10</t>
  </si>
  <si>
    <t xml:space="preserve"> UB-24-T2 ﾌﾟﾚｷｬｽﾄU型側溝（両面透水型）</t>
  </si>
  <si>
    <t xml:space="preserve">m当り </t>
  </si>
  <si>
    <t>規　　格</t>
  </si>
  <si>
    <t>3.7-2.2</t>
  </si>
  <si>
    <t>(0.44×0.2+0.24×0.02+0.33×0.29-0.05×0.05×0.5×2+(0.1+0.104)÷2×0.16×2)×10</t>
  </si>
  <si>
    <t>0.1×2×10</t>
  </si>
  <si>
    <t xml:space="preserve"> UB-30-T2 ﾌﾟﾚｷｬｽﾄU型側溝（両面透水型）</t>
  </si>
  <si>
    <t>(0.40+0.40)×0.58×10</t>
  </si>
  <si>
    <t>4.6-2.9</t>
  </si>
  <si>
    <t>(0.50×0.2+0.30×0.02+0.4×0.36-0.06×0.06×0.5×2+(0.1+0.108)÷2×0.2×2)×10</t>
  </si>
  <si>
    <t>0.50×10</t>
  </si>
  <si>
    <t>0.50×0.1×10</t>
  </si>
  <si>
    <t>(0.1+0.108)÷2×0.21×10×2</t>
  </si>
  <si>
    <t xml:space="preserve"> UB-36-T2 ﾌﾟﾚｷｬｽﾄU型側溝（両面透水型）</t>
  </si>
  <si>
    <t>5.5-3.7</t>
  </si>
  <si>
    <t>(0.56×0.2+0.36×0.02+0.46×0.425-0.065×0.065×0.5×2+(0.1+0.108)÷2×0.27×2)×10</t>
  </si>
  <si>
    <t>0.56×10</t>
  </si>
  <si>
    <t>0.1×2×10</t>
  </si>
  <si>
    <t>(0.1+0.108)÷2×0.27×10×2÷0.9</t>
  </si>
  <si>
    <t>FC-18～36 U型側溝蓋</t>
  </si>
  <si>
    <t>FC-18</t>
  </si>
  <si>
    <t>コンクリートU型蓋</t>
  </si>
  <si>
    <t>U-180用　JISA5334　１種</t>
  </si>
  <si>
    <t>10÷0.6</t>
  </si>
  <si>
    <t>枚</t>
  </si>
  <si>
    <t>FC-24</t>
  </si>
  <si>
    <t>U-240用　JISA5334　１種</t>
  </si>
  <si>
    <t>FC-30</t>
  </si>
  <si>
    <t>U-300用　JISA5334　１種</t>
  </si>
  <si>
    <t>FC-36</t>
  </si>
  <si>
    <t>U-360用　JISA5334　１種</t>
  </si>
  <si>
    <t>FG-18～36 U型側溝蓋</t>
  </si>
  <si>
    <t xml:space="preserve">m当り </t>
  </si>
  <si>
    <t>FG-18</t>
  </si>
  <si>
    <t>グレーチングU型蓋</t>
  </si>
  <si>
    <t>(網目)　U-180用　JISA5334　l =997</t>
  </si>
  <si>
    <t>10÷1.0</t>
  </si>
  <si>
    <t>10÷1.0</t>
  </si>
  <si>
    <t>FG-24</t>
  </si>
  <si>
    <t>(網目)　U-240用　JISA5334　l =997</t>
  </si>
  <si>
    <t>FG-30</t>
  </si>
  <si>
    <t>(網目)　U-300用　JISA5334　l =997</t>
  </si>
  <si>
    <t>FG-36</t>
  </si>
  <si>
    <t>(網目)　U-360用　JISA5334　l =997</t>
  </si>
  <si>
    <t>FG-18(W)～36(W) U型側溝蓋</t>
  </si>
  <si>
    <t>FG-18(W)</t>
  </si>
  <si>
    <t>(普通)　U-180用　JISA5334　l =995</t>
  </si>
  <si>
    <t>FG-24(W)</t>
  </si>
  <si>
    <t>(普通)　U-240用　JISA5334　l =995</t>
  </si>
  <si>
    <t>10÷1.0</t>
  </si>
  <si>
    <t>FG-30(W)</t>
  </si>
  <si>
    <t>(普通)　U-300用　JISA5334　l =995</t>
  </si>
  <si>
    <t>FG-36(W)</t>
  </si>
  <si>
    <t>(普通)　U-360用　JISA5334　l =995</t>
  </si>
  <si>
    <t xml:space="preserve"> UM-18 U型側溝桝</t>
  </si>
  <si>
    <t>規　　格</t>
  </si>
  <si>
    <t>(0.25+0.4)×(0.6+0.4)×0.53×10</t>
  </si>
  <si>
    <t>3.4-0.9</t>
  </si>
  <si>
    <t>(0.35×0.7×0.1+0.25×0.60×0.03+(0.25+0.27)÷2×0.4×0.6)×10</t>
  </si>
  <si>
    <t>0.35×0.7×10</t>
  </si>
  <si>
    <t>0.35×0.7×10</t>
  </si>
  <si>
    <t>0.25×0.6×0.03×10</t>
  </si>
  <si>
    <t>U型側溝桝</t>
  </si>
  <si>
    <t xml:space="preserve"> UM-24 U型側溝桝</t>
  </si>
  <si>
    <t>(0.31+0.4)×(0.7+0.4)×0.66×10</t>
  </si>
  <si>
    <t>5.2-1.6</t>
  </si>
  <si>
    <t>(0.41×0.8×0.1+0.31×0.70×0.03+(0.31+0.35)÷2×0.53×0.7)×10</t>
  </si>
  <si>
    <t>0.41×0.8×10</t>
  </si>
  <si>
    <t>0.41×0.8×10</t>
  </si>
  <si>
    <t>0.31×0.70×0.03×10</t>
  </si>
  <si>
    <t xml:space="preserve"> UM-30 U型側溝桝</t>
  </si>
  <si>
    <t>(0.34+0.4)×(0.9+0.4)×0.79×10</t>
  </si>
  <si>
    <t>7.6-2.8</t>
  </si>
  <si>
    <t>(0.44×1.0×0.1+0.34×0.90×0.03+(0.34+0.42)÷2×0.66×0.9)×10</t>
  </si>
  <si>
    <t>0.44×1.0×10</t>
  </si>
  <si>
    <t>0.44×1.0×10</t>
  </si>
  <si>
    <t>0.34×0.9×0.03×10</t>
  </si>
  <si>
    <t>UO-25 落蓋式U型側溝</t>
  </si>
  <si>
    <t xml:space="preserve">m当り </t>
  </si>
  <si>
    <t>(0.25+0.06+0.06+0.4)×0.64×10</t>
  </si>
  <si>
    <t>4.9-2.7</t>
  </si>
  <si>
    <t>(0.49×0.2+0.29×0.03+(0.29+0.35)÷2×0.04+0.35×0.136+(0.35+0.47)÷2×0.104+0.47×0.13)×10</t>
  </si>
  <si>
    <t>0.49×10</t>
  </si>
  <si>
    <t>0.49×0.1×10</t>
  </si>
  <si>
    <t>0.49×0.1×10</t>
  </si>
  <si>
    <t>均し</t>
  </si>
  <si>
    <t>落蓋式鉄筋ｺﾝｸﾘｰﾄU型ﾌﾞﾛｯｸ</t>
  </si>
  <si>
    <t>250  l =2000</t>
  </si>
  <si>
    <t>0.29×0.03×10</t>
  </si>
  <si>
    <t>※基礎ｸﾗｯｼｬｰﾗﾝの補正（1.2）は積算システム内で行う</t>
  </si>
  <si>
    <t>※基礎ｸﾗｯｼｬｰﾗﾝの補正（1.2）は積算システム内で行う</t>
  </si>
  <si>
    <t>UO-30 落蓋式U型側溝</t>
  </si>
  <si>
    <t>(0.42+0.4)×0.71×10</t>
  </si>
  <si>
    <t>5.8-3.4</t>
  </si>
  <si>
    <t>(0.54×0.2+0.34×0.03+(0.34+0.42)÷2×0.04+0.42×0.196+(0.42+0.54)÷2×0.104+0.54×0.14)×10</t>
  </si>
  <si>
    <t>0.54×10</t>
  </si>
  <si>
    <t>0.54×0.1×10</t>
  </si>
  <si>
    <t>300  l =2000</t>
  </si>
  <si>
    <t>0.34×0.03×10</t>
  </si>
  <si>
    <t>UO-40 落蓋式U型側溝</t>
  </si>
  <si>
    <t>規　　格</t>
  </si>
  <si>
    <t>(0.52+0.4)×0.82×10</t>
  </si>
  <si>
    <t>7.5-4.7</t>
  </si>
  <si>
    <t>(0.64×0.2+0.44×0.03+(0.44+0.52)÷2×0.04+0.52×0.295+(0.52+0.64)÷2×0.105+0.64×0.15)×10</t>
  </si>
  <si>
    <t>0.64×10</t>
  </si>
  <si>
    <t>0.64×0.1×10</t>
  </si>
  <si>
    <t>0.64×0.1×10</t>
  </si>
  <si>
    <t>400  l =2000</t>
  </si>
  <si>
    <t>0.44×0.03×10</t>
  </si>
  <si>
    <t>FO-25～40 落蓋式U型側溝蓋</t>
  </si>
  <si>
    <t>FO-25 ｺﾝｸﾘｰﾄ蓋</t>
  </si>
  <si>
    <t>U-250用　l =500</t>
  </si>
  <si>
    <t>10÷0.5</t>
  </si>
  <si>
    <t>FO-30 ｺﾝｸﾘｰﾄ蓋</t>
  </si>
  <si>
    <t>U-300用　l =500</t>
  </si>
  <si>
    <t>FO-40 ｺﾝｸﾘｰﾄ蓋</t>
  </si>
  <si>
    <t>U-400用　l =500</t>
  </si>
  <si>
    <t>GO-25A～40A,25B～40B 落蓋式U型側溝蓋</t>
  </si>
  <si>
    <t>GO-25A</t>
  </si>
  <si>
    <t>グレーチング蓋</t>
  </si>
  <si>
    <t>U-250用　l =995  T-14</t>
  </si>
  <si>
    <t>GO-30A</t>
  </si>
  <si>
    <t>U-300用　l =995  T-14</t>
  </si>
  <si>
    <t>GO-40A</t>
  </si>
  <si>
    <t>U-400用　l =995  T-14</t>
  </si>
  <si>
    <t>GO-25B</t>
  </si>
  <si>
    <t>U-250用　l =995  T-20</t>
  </si>
  <si>
    <t>GO-30B</t>
  </si>
  <si>
    <t>U-300用　l =995  T-20</t>
  </si>
  <si>
    <t>GO-40B</t>
  </si>
  <si>
    <t>U-400用　l =995  T-20</t>
  </si>
  <si>
    <t xml:space="preserve">m当り </t>
  </si>
  <si>
    <t>GU-25A,25B 横断側溝</t>
  </si>
  <si>
    <t>(0.55+0.4)×0.5×10</t>
  </si>
  <si>
    <t>(0.65×0.1+0.55×0.4)×10</t>
  </si>
  <si>
    <t>0.65×10</t>
  </si>
  <si>
    <t>0.65×10</t>
  </si>
  <si>
    <t>(0.4+0.262)×2×10</t>
  </si>
  <si>
    <t>(0.55×0.4-(0.25×0.262+0.37×0.038))×10</t>
  </si>
  <si>
    <t>ﾋｭｰﾑ管</t>
  </si>
  <si>
    <t>φ150*t26*2000　　B形1種</t>
  </si>
  <si>
    <t>GU-25A</t>
  </si>
  <si>
    <t>ｸﾞﾚｰﾁﾝｸﾞ側溝蓋（細目）</t>
  </si>
  <si>
    <t>溝幅250用、T6</t>
  </si>
  <si>
    <t>GU-25B</t>
  </si>
  <si>
    <t>溝幅250用、T14</t>
  </si>
  <si>
    <t>GU-30A,30B 横断側溝</t>
  </si>
  <si>
    <t>(0.6+0.4)×0.55×10</t>
  </si>
  <si>
    <t>5.5-3.4</t>
  </si>
  <si>
    <t>(0.7×0.1+0.6×0.45)×10</t>
  </si>
  <si>
    <t>0.7×10</t>
  </si>
  <si>
    <t>GU-30A</t>
  </si>
  <si>
    <t>(0.45+0.312)×2×10</t>
  </si>
  <si>
    <t>(0.6×0.45-(0.3×0.312+0.42×0.038))×10</t>
  </si>
  <si>
    <t>溝幅300用、T6</t>
  </si>
  <si>
    <t>GU-30B</t>
  </si>
  <si>
    <t>(0.45+0.306)×2×10</t>
  </si>
  <si>
    <t>(0.6×0.45-(0.3×0.306+0.42×0.044))×10</t>
  </si>
  <si>
    <t>溝幅300用、T14</t>
  </si>
  <si>
    <t>GU-35A,35B 横断側溝</t>
  </si>
  <si>
    <t>(0.65+0.4)×0.6×10</t>
  </si>
  <si>
    <t>6.3-4.0</t>
  </si>
  <si>
    <t>(0.75×0.1+0.65×0.5)×10</t>
  </si>
  <si>
    <t>0.75×10</t>
  </si>
  <si>
    <t>(0.5+0.356)×2×10</t>
  </si>
  <si>
    <t>(0.65×0.5-(0.35×0.356+0.47×0.044))×10</t>
  </si>
  <si>
    <t>GU-35A</t>
  </si>
  <si>
    <t>溝幅350用、T6</t>
  </si>
  <si>
    <t>GU-35B</t>
  </si>
  <si>
    <t>溝幅350用、T14</t>
  </si>
  <si>
    <t>GUM-30A,30B 横断側溝桝</t>
  </si>
  <si>
    <t>(1.50×1.60×0.3+1.0×1.6×0.55)×10</t>
  </si>
  <si>
    <t>16.0-2.7</t>
  </si>
  <si>
    <t>(0.6×0.7×0.1+0.5×0.6×0.75)×10</t>
  </si>
  <si>
    <t>0.6×0.7×10</t>
  </si>
  <si>
    <t>((0.5+0.6)×2×0.75+0.3×0.612×4-(0.3×0.35+0.3×0.312)+0.312×0.10×2)×10</t>
  </si>
  <si>
    <t>(0.5×0.6×0.75-(0.3×0.3×0.612+0.3×0.312×0.1+0.42×0.46×0.038))×10</t>
  </si>
  <si>
    <t>GUM-30A</t>
  </si>
  <si>
    <t>ｸﾞﾚｰﾁﾝｸﾞ桝蓋（細目）</t>
  </si>
  <si>
    <t>桝幅300用、T6</t>
  </si>
  <si>
    <t>GUM-30B</t>
  </si>
  <si>
    <t>桝幅300用、T14</t>
  </si>
  <si>
    <t>GUM-40A,40B 横断側溝桝</t>
  </si>
  <si>
    <t>(1.55×1.65×0.3+1.05×1.65×0.6)×10</t>
  </si>
  <si>
    <t>18.0-3.3</t>
  </si>
  <si>
    <t>(0.65×0.75×0.1+0.55×0.65×0.8)×10</t>
  </si>
  <si>
    <t>0.65×0.75×10</t>
  </si>
  <si>
    <t>((0.55+0.65)×2×0.8+0.35×0.656×4-(0.35×0.4+0.35×0.356)+0.356×0.10×2)×10</t>
  </si>
  <si>
    <t>(0.55×0.65×0.8-(0.35×0.35×0.656+0.35×0.356×0.1+0.52×0.56×0.044))×10</t>
  </si>
  <si>
    <t>GUM-40A</t>
  </si>
  <si>
    <t>桝幅400用、T6</t>
  </si>
  <si>
    <t>GUM-40B</t>
  </si>
  <si>
    <t>桝幅400用、T14</t>
  </si>
  <si>
    <t>各設計時に数量を算出する。</t>
  </si>
  <si>
    <t>　　　　　　　〃</t>
  </si>
  <si>
    <t>(0.25×0.25-0.025×0.025×3.14)×10÷0.9</t>
  </si>
  <si>
    <t>化学繊維系透水管</t>
  </si>
  <si>
    <t>内径50</t>
  </si>
  <si>
    <t>(0.25×0.25-0.025×0.025×3.14)×10</t>
  </si>
  <si>
    <t>(0.3×0.3-0.05×0.05×3.14)×10÷0.9</t>
  </si>
  <si>
    <t>内径100</t>
  </si>
  <si>
    <t>(0.3×0.3-0.05×0.05×3.14)×10</t>
  </si>
  <si>
    <t>　　　　　　　〃</t>
  </si>
  <si>
    <t>(0.35×0.35-0.075×0.075×3.14)×10÷0.9</t>
  </si>
  <si>
    <t>内径150</t>
  </si>
  <si>
    <t>(0.35×0.35-0.075×0.075×3.14)×10</t>
  </si>
  <si>
    <t>(0.4×0.4-0.1×0.1×3.14)×10÷0.9</t>
  </si>
  <si>
    <t>内径200</t>
  </si>
  <si>
    <t>(0.4×0.4-0.1×0.1×3.14)×10</t>
  </si>
  <si>
    <t>VU-10 硬質塩化ﾋﾞﾆｰﾙ管</t>
  </si>
  <si>
    <t>再生砂</t>
  </si>
  <si>
    <t>(A類)</t>
  </si>
  <si>
    <t>(0.3×0.3-0.057×0.057×3.14)×10÷0.9</t>
  </si>
  <si>
    <t>硬質塩化ﾋﾞﾆｰﾙ管</t>
  </si>
  <si>
    <t>VU-100</t>
  </si>
  <si>
    <t>10×1.01</t>
  </si>
  <si>
    <t>接着剤</t>
  </si>
  <si>
    <t>0.4÷100×10</t>
  </si>
  <si>
    <t>(0.3×0.3-0.057×0.057×3.14)×10</t>
  </si>
  <si>
    <t>VU-15 硬質塩化ﾋﾞﾆｰﾙ管</t>
  </si>
  <si>
    <t>　　　　　　　〃</t>
  </si>
  <si>
    <t>(0.35×0.35-0.0825×0.0825×3.14)×10÷0.9</t>
  </si>
  <si>
    <t>VU-150</t>
  </si>
  <si>
    <t>0.8÷100×10</t>
  </si>
  <si>
    <t>(0.35×0.35-0.0825×0.0825×3.14)×10</t>
  </si>
  <si>
    <t>VU-20 硬質塩化ﾋﾞﾆｰﾙ管</t>
  </si>
  <si>
    <t>(0.4×0.4-0.108×0.108×3.14)×10÷0.9</t>
  </si>
  <si>
    <t>VU-200</t>
  </si>
  <si>
    <t>10.0×1.01</t>
  </si>
  <si>
    <t>1.4÷100×10</t>
  </si>
  <si>
    <t>(0.4×0.4-0.108×0.108×3.14)×10</t>
  </si>
  <si>
    <t xml:space="preserve">VU-25 硬質塩化ﾋﾞﾆｰﾙ管 </t>
  </si>
  <si>
    <t>(0.45×0.45-0.1335×0.1335×3.14)×10÷0.9</t>
  </si>
  <si>
    <t>VU-25</t>
  </si>
  <si>
    <t>2.3÷100×10</t>
  </si>
  <si>
    <t>(0.45×0.45-0.1335×0.1335×3.14)×10</t>
  </si>
  <si>
    <t xml:space="preserve">VU-30 硬質塩化ﾋﾞﾆｰﾙ管 </t>
  </si>
  <si>
    <t>(0.5×0.5-0.159×0.159×3.14)×10÷0.9</t>
  </si>
  <si>
    <t>VU-300</t>
  </si>
  <si>
    <t>10×1.01</t>
  </si>
  <si>
    <t>(2.3+(2.3-1.4))÷100×10</t>
  </si>
  <si>
    <t>(0.5×0.5-0.159×0.159×3.14)×10</t>
  </si>
  <si>
    <t>SOM-10,15-a～e-50 小口径汚水桝</t>
  </si>
  <si>
    <t>((0.216+0.4)×(0.216+0.4)×0.26+(0.39+0.4)×(0.39+0.4)×0.34)×10</t>
  </si>
  <si>
    <t>(0.3×0.3×0.1+0.49×0.49×0.1+0.39×0.39×0.05+0.135×0.135×3.14×0.19)×10+0.108×0.108×3.14×(0.5-0.34)×10</t>
  </si>
  <si>
    <t>0.3×0.3×10+(0.49×0.49-0.108×0.108×3.14)×10</t>
  </si>
  <si>
    <t>0.3×0.3×10+(0.49×0.49-0.108×0.108×3.14)×10</t>
  </si>
  <si>
    <t>主管</t>
  </si>
  <si>
    <t>VUφ100　または　VUφ150</t>
  </si>
  <si>
    <t>VUφ100　または　VUφ150</t>
  </si>
  <si>
    <t>継手</t>
  </si>
  <si>
    <t>ａ：ストレート　　ｂ：45°曲がり　　ｃ：90°曲がり
ｄ：45°合流　　ｅ：90°合流</t>
  </si>
  <si>
    <t>桝直壁VUφ200</t>
  </si>
  <si>
    <t>主管VU-10</t>
  </si>
  <si>
    <t>0.2×10</t>
  </si>
  <si>
    <t>主管VU-15</t>
  </si>
  <si>
    <t>0.15×10</t>
  </si>
  <si>
    <t>台座鋳鉄蓋</t>
  </si>
  <si>
    <t>SOM-10,15-a～e-60 小口径汚水桝</t>
  </si>
  <si>
    <t>((0.216+0.4)×(0.216+0.4)×0.36+(0.39+0.4)×(0.39+0.4)×0.34)×10</t>
  </si>
  <si>
    <t>3.5-0.6</t>
  </si>
  <si>
    <t>(0.3×0.3×0.1+0.49×0.49×0.1+0.39×0.39×0.05+0.135×0.135×3.14×0.19)×10+0.108×0.108×3.14×(0.6-0.34)×10</t>
  </si>
  <si>
    <t>0.3×0.3×10</t>
  </si>
  <si>
    <t>0.3×10</t>
  </si>
  <si>
    <t>0.25×10</t>
  </si>
  <si>
    <t>SOM-10,15-a～e-70 小口径汚水桝</t>
  </si>
  <si>
    <t>((0.216+1.0)×(0.216+1.0)×0.46+(0.39+0.4)×(0.39+0.4)×0.34)×10</t>
  </si>
  <si>
    <t>8.9-0.6</t>
  </si>
  <si>
    <t>(0.3×0.3×0.1+0.49×0.49×0.1+0.39×0.39×0.05+0.135×0.135×3.14×0.19)×10+0.108×0.108×3.14×(0.7-0.34)×10</t>
  </si>
  <si>
    <t>0.35×10</t>
  </si>
  <si>
    <t>SOM-10,15-a～e-80 小口径汚水桝</t>
  </si>
  <si>
    <t>((0.216+1.0)×(0.216+1.0)×0.56+(0.39+0.4)×(0.39+0.4)×0.34)×10</t>
  </si>
  <si>
    <t>10.4-0.7</t>
  </si>
  <si>
    <t>(0.3×0.3×0.1+0.49×0.49×0.1+0.39×0.39×0.05+0.135×0.135×3.14×0.19)×10+0.108×0.108×3.14×(0.8-0.34)×10</t>
  </si>
  <si>
    <t>VUφ100　または　VUφ150</t>
  </si>
  <si>
    <t>0.5×10</t>
  </si>
  <si>
    <t>SOM-10,15-a～e-90 小口径汚水桝</t>
  </si>
  <si>
    <t>((0.216+1.0)×(0.216+1.0)+2.216×2.216)÷2×1.0×10</t>
  </si>
  <si>
    <t>31.9-0.7</t>
  </si>
  <si>
    <t>(0.3×0.3×0.1+0.49×0.49×0.1+0.39×0.39×0.05+0.135×0.135×3.14×0.19)×10+0.108×0.108×3.14×(0.9-0.34)×10</t>
  </si>
  <si>
    <t>0.6×10</t>
  </si>
  <si>
    <t>SOM-10,15-a～e-100 小口径汚水桝</t>
  </si>
  <si>
    <t>((0.216+1.0)×(0.216+1.0)+2.316×2.316)÷2×1.1×10</t>
  </si>
  <si>
    <t>37.6-0.8</t>
  </si>
  <si>
    <t>(0.3×0.3×0.1+0.49×0.49×0.1+0.39×0.39×0.05+0.135×0.135×3.14×0.19)×10+0.108×0.108×3.14×(1.0-0.34)×10</t>
  </si>
  <si>
    <t>0.7×10</t>
  </si>
  <si>
    <t>0.65×10</t>
  </si>
  <si>
    <t>SOM-10,15-a～e-110 小口径汚水桝</t>
  </si>
  <si>
    <t>((0.216+1.0)×(0.216+1.0)+2.416×2.416)÷2×1.2×10</t>
  </si>
  <si>
    <t>43.9-0.8</t>
  </si>
  <si>
    <t>(0.3×0.3×0.1+0.49×0.49×0.1+0.39×0.39×0.05+0.135×0.135×3.14×0.19)×10+0.108×0.108×3.14×(1.1-0.34)×10</t>
  </si>
  <si>
    <t>VUφ100　または　VUφ150</t>
  </si>
  <si>
    <t>0.75×10</t>
  </si>
  <si>
    <t>SOM-10,15-a～e-120 小口径汚水桝</t>
  </si>
  <si>
    <t>((0.216+1.0)×(0.216+1.0)+2.516×2.516)÷2×1.3×10</t>
  </si>
  <si>
    <t>50.8-0.8</t>
  </si>
  <si>
    <t>(0.3×0.3×0.1+0.49×0.49×0.1+0.39×0.39×0.05+0.135×0.135×3.14×0.19)×10+0.108×0.108×3.14×(1.2-0.34)×10</t>
  </si>
  <si>
    <t>0.85×10</t>
  </si>
  <si>
    <t>RM-30 集水桝</t>
  </si>
  <si>
    <t>(0.6+0.4)×(0.6+0.4)×0.7×10</t>
  </si>
  <si>
    <t>7.0-2.7</t>
  </si>
  <si>
    <t>(0.7×0.7×0.1+0.6×0.6×0.6)×10</t>
  </si>
  <si>
    <t>0.7×0.7×10</t>
  </si>
  <si>
    <t>桝蓋</t>
  </si>
  <si>
    <t>枠・鎖付</t>
  </si>
  <si>
    <t>鋳鉄蓋400*400*20</t>
  </si>
  <si>
    <t>(0.6×0.6×0.6-0.3×0.3×0.43-0.4×0.4×0.02)×10</t>
  </si>
  <si>
    <t>細目ｸﾞﾚｰﾁﾝｸﾞ(T2)414*414*23</t>
  </si>
  <si>
    <t>(0.6×0.6×0.6-0.3×0.3×0.427-0.414×0.414×0.023)×10</t>
  </si>
  <si>
    <t>細目ｸﾞﾚｰﾁﾝｸﾞ(T14)420*420*38</t>
  </si>
  <si>
    <t>(0.6×0.6×0.6-0.3×0.3×0.412-0.42×0.42×0.038)×10</t>
  </si>
  <si>
    <t>普通ｸﾞﾚｰﾁﾝｸﾞ(T2)420*420*31</t>
  </si>
  <si>
    <t>(0.6×0.6×0.6-0.3×0.3×0.419-0.42×0.42×0.031)×10</t>
  </si>
  <si>
    <t>普通ｸﾞﾚｰﾁﾝｸﾞ(T14)420*420*44</t>
  </si>
  <si>
    <t>(0.6×0.6×0.6-0.3×0.3×0.406-0.42×0.42×0.044)×10</t>
  </si>
  <si>
    <t>(0.6×0.6×4+0.3×0.43×4)×10</t>
  </si>
  <si>
    <t>(0.6×0.6×4+0.3×0.427×4)×10</t>
  </si>
  <si>
    <t>(0.6×0.6×4+0.3×0.412×4)×10</t>
  </si>
  <si>
    <t>(0.6×0.6×4+0.3×0.419×4)×10</t>
  </si>
  <si>
    <t>(0.6×0.6×4+0.3×0.406×4)×10</t>
  </si>
  <si>
    <t>RM-40 集水桝</t>
  </si>
  <si>
    <t>(0.6+1.0)×(0.6+1.0)×0.8×10</t>
  </si>
  <si>
    <t>20.5-3.0</t>
  </si>
  <si>
    <t>(0.7×0.7×0.1+0.6×0.6×0.7)×10</t>
  </si>
  <si>
    <t>(0.6×0.6×0.7-0.3×0.3×0.53-0.4×0.4×0.02)×10</t>
  </si>
  <si>
    <t>(0.6×0.6×0.7-0.3×0.3×0.527-0.414×0.414×0.023)×10</t>
  </si>
  <si>
    <t>(0.6×0.6×0.7-0.3×0.3×0.512-0.42×0.42×0.038)×10</t>
  </si>
  <si>
    <t>(0.6×0.6×0.7-0.3×0.3×0.519-0.42×0.42×0.031)×10</t>
  </si>
  <si>
    <t>(0.6×0.6×0.7-0.3×0.3×0.506-0.42×0.42×0.044)×10</t>
  </si>
  <si>
    <t>(0.6×0.7×4+0.3×0.53×4)×10</t>
  </si>
  <si>
    <t>(0.6×0.7×4+0.3×0.527×4)×10</t>
  </si>
  <si>
    <t>(0.6×0.7×4+0.3×0.512×4)×10</t>
  </si>
  <si>
    <t>(0.6×0.7×4+0.3×0.519×4)×10</t>
  </si>
  <si>
    <t>(0.6×0.7×4+0.3×0.506×4)×10</t>
  </si>
  <si>
    <t>RM-50 集水桝</t>
  </si>
  <si>
    <t>(0.7+1.0)×(0.7+1.0)×0.9×10</t>
  </si>
  <si>
    <t>26.0-4.6</t>
  </si>
  <si>
    <t>(0.8×0.8×0.1+0.7×0.7×0.8)×10</t>
  </si>
  <si>
    <t>0.8×0.8×10</t>
  </si>
  <si>
    <t>鋳鉄蓋500*500*20</t>
  </si>
  <si>
    <t>(0.7×0.7×0.8-0.4×0.4×0.63-0.5×0.5×0.02)×10</t>
  </si>
  <si>
    <t>細目ｸﾞﾚｰﾁﾝｸﾞ(T2)535*535*31</t>
  </si>
  <si>
    <t>(0.7×0.7×0.8-0.4×0.4×0.619-0.535×0.535×0.031)×10</t>
  </si>
  <si>
    <t>細目ｸﾞﾚｰﾁﾝｸﾞ(T14)535*535*44</t>
  </si>
  <si>
    <t>(0.7×0.7×0.8-0.4×0.4×0.606-0.535×0.535×0.044)×10</t>
  </si>
  <si>
    <t>普通ｸﾞﾚｰﾁﾝｸﾞ(T2)535*535*38</t>
  </si>
  <si>
    <t>(0.7×0.7×0.8-0.4×0.4×0.612-0.535×0.535×0.038)×10</t>
  </si>
  <si>
    <t>普通ｸﾞﾚｰﾁﾝｸﾞ(T14)535*535*50</t>
  </si>
  <si>
    <t>(0.7×0.7×0.8-0.4×0.4×0.6-0.535×0.535×0.05)×10</t>
  </si>
  <si>
    <t>(0.7×0.8×4+0.4×0.63×4)×10</t>
  </si>
  <si>
    <t>(0.7×0.8×4+0.4×0.619×4)×10</t>
  </si>
  <si>
    <t>(0.7×0.8×4+0.4×0.606×4)×10</t>
  </si>
  <si>
    <t>(0.7×0.8×4+0.4×0.612×4)×10</t>
  </si>
  <si>
    <t>(0.7×0.8×4+0.4×0.6×4)×10</t>
  </si>
  <si>
    <t>RM-60 集水桝</t>
  </si>
  <si>
    <t>((0.7+1.0)×(0.7+1.0)+2.64×2.64)×0.5×1.0×10</t>
  </si>
  <si>
    <t>49.3-5.1</t>
  </si>
  <si>
    <t>(0.8×0.8×0.1+0.7×0.7×0.9)×10</t>
  </si>
  <si>
    <t>(0.7×0.7×0.9-0.4×0.4×0.73-0.5×0.5×0.02)×10</t>
  </si>
  <si>
    <t>(0.7×0.7×0.9-0.4×0.4×0.７19-0.535×0.535×0.031)×10</t>
  </si>
  <si>
    <t>(0.7×0.7×0.9-0.4×0.4×0.706-0.535×0.535×0.044)×10</t>
  </si>
  <si>
    <t>(0.7×0.7×0.9-0.4×0.4×0.712-0.535×0.535×0.038)×10</t>
  </si>
  <si>
    <t>(0.7×0.7×0.9-0.4×0.4×0.7-0.535×0.535×0.05)×10</t>
  </si>
  <si>
    <t>(0.7×0.9×4+0.4×0.73×4)×10</t>
  </si>
  <si>
    <t>(0.7×0.9×4+0.4×0.719×4)×10</t>
  </si>
  <si>
    <t>(0.7×0.9×4+0.4×0.706×4)×10</t>
  </si>
  <si>
    <t>(0.7×0.9×4+0.4×0.712×4)×10</t>
  </si>
  <si>
    <t>(0.7×0.9×4+0.4×0.7×4)×10</t>
  </si>
  <si>
    <t>RM-70 集水桝</t>
  </si>
  <si>
    <t>((0.8+1.0)×(0.8+1.0)+2.9×2.9)×0.5×1.1×10</t>
  </si>
  <si>
    <t>64.1-7.2</t>
  </si>
  <si>
    <t>(0.9×0.9×0.1+0.8×0.8×1.0)×10</t>
  </si>
  <si>
    <t>0.9×0.9×10</t>
  </si>
  <si>
    <t>鋳鉄蓋600*600*20</t>
  </si>
  <si>
    <t>(0.8×0.8×1.0-0.5×0.5×0.83-0.6×0.6×0.02)×10</t>
  </si>
  <si>
    <t>細目ｸﾞﾚｰﾁﾝｸﾞ(T2)625*625*38</t>
  </si>
  <si>
    <t>(0.8×0.8×1.0-0.5×0.5×0.812-0.625×0.625×0.038)×10</t>
  </si>
  <si>
    <t>細目ｸﾞﾚｰﾁﾝｸﾞ(T14)625*625*44</t>
  </si>
  <si>
    <t>(0.8×0.8×1.0-0.5×0.5×0.806-0.625×0.625×0.044)×10</t>
  </si>
  <si>
    <t>普通ｸﾞﾚｰﾁﾝｸﾞ(T2)625*625*44</t>
  </si>
  <si>
    <t>普通ｸﾞﾚｰﾁﾝｸﾞ(T14)630*630*56</t>
  </si>
  <si>
    <t>(0.8×0.8×1.0-0.5×0.5×0.794-0.63×0.63×0.056)×10</t>
  </si>
  <si>
    <t>(0.8×1.0×4+0.5×0.83×4)×10</t>
  </si>
  <si>
    <t>(0.8×1.0×4+0.5×0.812×4)×10</t>
  </si>
  <si>
    <t>(0.8×1.0×4+0.5×0.806×4)×10</t>
  </si>
  <si>
    <t>(0.8×1.0×4+0.5×0.806×4)×10</t>
  </si>
  <si>
    <t>(0.8×1.0×4+0.5×0.794×4)×10</t>
  </si>
  <si>
    <t>RM-80 集水桝</t>
  </si>
  <si>
    <t>(1.8×1.8+3.0×3.0)×0.5×1.2×10</t>
  </si>
  <si>
    <t>73.4-7.9</t>
  </si>
  <si>
    <t>(0.9×0.9×0.1+0.8×0.8×1.1)×10</t>
  </si>
  <si>
    <t>(0.9×0.9×0.1+0.8×0.8×1.1)×10</t>
  </si>
  <si>
    <t>(0.8×0.8×1.1-0.5×0.5×0.93-0.6×0.6×0.02)×10</t>
  </si>
  <si>
    <t>(0.8×0.8×1.1-0.5×0.5×0.912-0.625×0.625×0.038)×10</t>
  </si>
  <si>
    <t>(0.8×0.8×1.1-0.5×0.5×0.906-0.625×0.625×0.044)×10</t>
  </si>
  <si>
    <t>(0.8×0.8×1.1-0.5×0.5×0.894-0.63×0.63×0.056)×10</t>
  </si>
  <si>
    <t>(0.8×1.1×4+0.5×0.93×4)×10</t>
  </si>
  <si>
    <t>(0.8×1.1×4+0.5×0.912×4)×10</t>
  </si>
  <si>
    <t>(0.8×1.1×4+0.5×0.906×4)×10</t>
  </si>
  <si>
    <t>(0.8×1.1×4+0.5×0.894×4)×10</t>
  </si>
  <si>
    <t>SM-30 浸透桝</t>
  </si>
  <si>
    <t>7.0-2.7</t>
  </si>
  <si>
    <t>(0.6×0.6×0.6-0.3×0.3×0.58-0.4×0.4×0.02)×10</t>
  </si>
  <si>
    <t>(0.6×0.6×0.6-0.3×0.3×0.577-0.414×0.414×0.023)×10</t>
  </si>
  <si>
    <t>(0.6×0.6×0.6-0.3×0.3×0.562-0.42×0.42×0.038)×10</t>
  </si>
  <si>
    <t>(0.6×0.6×0.6-0.3×0.3×0.569-0.42×0.42×0.031)×10</t>
  </si>
  <si>
    <t>(0.6×0.6×0.6-0.3×0.3×0.556-0.42×0.42×0.044)×10</t>
  </si>
  <si>
    <t>(0.6×0.6×4+0.3×0.58×4)×10</t>
  </si>
  <si>
    <t>(0.6×0.6×4+0.3×0.577×4)×10</t>
  </si>
  <si>
    <t>(0.6×0.6×4+0.3×0.562×4)×10</t>
  </si>
  <si>
    <t>(0.6×0.6×4+0.3×0.569×4)×10</t>
  </si>
  <si>
    <t>(0.6×0.6×4+0.3×0.556×4)×10</t>
  </si>
  <si>
    <t>SM-40 浸透桝</t>
  </si>
  <si>
    <t>(0.6×0.6×0.7-0.3×0.3×0.68-0.4×0.4×0.02)×10</t>
  </si>
  <si>
    <t>(0.6×0.6×0.7-0.3×0.3×0.677-0.414×0.414×0.023)×10</t>
  </si>
  <si>
    <t>(0.6×0.6×0.7-0.3×0.3×0.662-0.42×0.42×0.038)×10</t>
  </si>
  <si>
    <t>(0.6×0.6×0.7-0.3×0.3×0.669-0.42×0.42×0.031)×10</t>
  </si>
  <si>
    <t>(0.6×0.6×0.7-0.3×0.3×0.656-0.42×0.42×0.044)×10</t>
  </si>
  <si>
    <t>(0.6×0.7×4+0.3×0.68×4)×10</t>
  </si>
  <si>
    <t>(0.6×0.7×4+0.3×0.677×4)×10</t>
  </si>
  <si>
    <t>(0.6×0.7×4+0.3×0.662×4)×10</t>
  </si>
  <si>
    <t>(0.6×0.7×4+0.3×0.669×4)×10</t>
  </si>
  <si>
    <t>(0.6×0.7×4+0.3×0.656×4)×10</t>
  </si>
  <si>
    <t>SM-50 浸透桝</t>
  </si>
  <si>
    <t>(0.7+1.0)×(0.7+1.0)×0.9×10</t>
  </si>
  <si>
    <t>0.8×0.8×10</t>
  </si>
  <si>
    <t>(0.7×0.7×0.8-0.4×0.4×0.78-0.5×0.5×0.02)×10</t>
  </si>
  <si>
    <t>(0.7×0.7×0.8-0.4×0.4×0.769-0.535×0.535×0.031)×10</t>
  </si>
  <si>
    <t>(0.7×0.7×0.8-0.4×0.4×0.756-0.535×0.535×0.044)×10</t>
  </si>
  <si>
    <t>(0.7×0.7×0.8-0.4×0.4×0.762-0.535×0.535×0.038)×10</t>
  </si>
  <si>
    <t>(0.7×0.7×0.8-0.4×0.4×0.75-0.535×0.535×0.05)×10</t>
  </si>
  <si>
    <t>(0.7×0.8×4+0.4×0.78×4)×10</t>
  </si>
  <si>
    <t>(0.7×0.8×4+0.4×0.769×4)×10</t>
  </si>
  <si>
    <t>(0.7×0.8×4+0.4×0.756×4)×10</t>
  </si>
  <si>
    <t>(0.7×0.8×4+0.4×0.762×4)×10</t>
  </si>
  <si>
    <t>(0.7×0.8×4+0.4×0.75×4)×10</t>
  </si>
  <si>
    <t>SM-60 浸透桝</t>
  </si>
  <si>
    <t>((0.7+1.0)×(0.7+1.0)+2.64×2.64)×0.5×1.0×10</t>
  </si>
  <si>
    <t>(0.8×0.8×0.1+0.7×0.7×0.9)×10</t>
  </si>
  <si>
    <t>(0.7×0.7×0.9-0.4×0.4×0.88-0.5×0.5×0.02)×10</t>
  </si>
  <si>
    <t>(0.7×0.7×0.9-0.4×0.4×0.869-0.535×0.535×0.031)×10</t>
  </si>
  <si>
    <t>(0.7×0.7×0.9-0.4×0.4×0.856-0.535×0.535×0.044)×10</t>
  </si>
  <si>
    <t>(0.7×0.7×0.9-0.4×0.4×0.862-0.535×0.535×0.038)×10</t>
  </si>
  <si>
    <t>(0.7×0.7×0.9-0.4×0.4×0.85-0.535×0.535×0.05)×10</t>
  </si>
  <si>
    <t>(0.7×0.9×4+0.4×0.88×4)×10</t>
  </si>
  <si>
    <t>(0.7×0.9×4+0.4×0.869×4)×10</t>
  </si>
  <si>
    <t>(0.7×0.9×4+0.4×0.856×4)×10</t>
  </si>
  <si>
    <t>(0.7×0.9×4+0.4×0.862×4)×10</t>
  </si>
  <si>
    <t>(0.7×0.9×4+0.4×0.85×4)×10</t>
  </si>
  <si>
    <t>SM-70 浸透桝</t>
  </si>
  <si>
    <t>((0.8+1.0)×(0.8+1.0)+2.9×2.9)×0.5×1.1×10</t>
  </si>
  <si>
    <t>64.1-7.2</t>
  </si>
  <si>
    <t>(0.9×0.9×0.1+0.8×0.8×1.0)×10</t>
  </si>
  <si>
    <t>0.9×0.9×10</t>
  </si>
  <si>
    <t>(0.8×0.8×1.0-0.5×0.5×0.98-0.6×0.6×0.02)×10</t>
  </si>
  <si>
    <t>(0.8×0.8×1.0-0.5×0.5×0.962-0.625×0.625×0.038)×10</t>
  </si>
  <si>
    <t>(0.8×0.8×1.0-0.5×0.5×0.956-0.625×0.625×0.044)×10</t>
  </si>
  <si>
    <t>(0.8×0.8×1.0-0.5×0.5×0.944-0.63×0.63×0.056)×10</t>
  </si>
  <si>
    <t>(0.8×1.0×4+0.5×0.98×4)×10</t>
  </si>
  <si>
    <t>(0.8×1.0×4+0.5×0.962×4)×10</t>
  </si>
  <si>
    <t>(0.8×1.0×4+0.5×0.956×4)×10</t>
  </si>
  <si>
    <t>(0.8×1.0×4+0.5×0.944×4)×10</t>
  </si>
  <si>
    <t>SM-80 浸透桝</t>
  </si>
  <si>
    <t>(0.8×0.8×1.1-0.5×0.5×1.08-0.6×0.6×0.02)×10</t>
  </si>
  <si>
    <t>(0.8×0.8×1.1-0.5×0.5×1.062-0.625×0.625×0.038)×10</t>
  </si>
  <si>
    <t>(0.8×0.8×1.1-0.5×0.5×1.056-0.625×0.625×0.044)×10</t>
  </si>
  <si>
    <t>(0.8×0.8×1.1-0.5×0.5×1.044-0.63×0.63×0.056)×10</t>
  </si>
  <si>
    <t>(0.8×1.1×4+0.5×1.08×4)×10</t>
  </si>
  <si>
    <t>(0.8×1.1×4+0.5×1.062×4)×10</t>
  </si>
  <si>
    <t>(0.8×1.1×4+0.5×1.056×4)×10</t>
  </si>
  <si>
    <t>(0.8×1.1×4+0.5×1.044×4)×10</t>
  </si>
  <si>
    <t>0.6×0.6×3.14÷4×1.3×10</t>
  </si>
  <si>
    <t>3.7-3.4</t>
  </si>
  <si>
    <t>(0.6×0.6×3.14÷4×1.2+0.2×0.2×3.14÷4×0.1)×10</t>
  </si>
  <si>
    <t>鋼製φ600</t>
  </si>
  <si>
    <t>1.1×10</t>
  </si>
  <si>
    <t>(0.6×0.6×3.14÷4×1.1-0.15×0.15×3.14÷4×0.8)×10</t>
  </si>
  <si>
    <t>(0.6×0.6×3.14÷4×1.1-0.15×0.15×3.14÷4×0.8)×10</t>
  </si>
  <si>
    <t>(0.25×0.25-0.15×0.15)×3.14÷4×0.1×10</t>
  </si>
  <si>
    <t>灯柱</t>
  </si>
  <si>
    <t>ｱﾙﾐ段付</t>
  </si>
  <si>
    <t>灯具</t>
  </si>
  <si>
    <t>A1～E2</t>
  </si>
  <si>
    <t>水銀灯</t>
  </si>
  <si>
    <t>A1･A2　HF250W</t>
  </si>
  <si>
    <t>D　HF300W</t>
  </si>
  <si>
    <t>E1　HF200W</t>
  </si>
  <si>
    <t>E2　HF200W</t>
  </si>
  <si>
    <t>安定器</t>
  </si>
  <si>
    <t>250W用高力率定電力型100V用(A1･A2)</t>
  </si>
  <si>
    <t>300W用高力率定電力型100V用(B･D)</t>
  </si>
  <si>
    <t>200W用高力率定電力型(E1)</t>
  </si>
  <si>
    <t>200W用高力率定電力型×2(E2)</t>
  </si>
  <si>
    <t>自動点滅器</t>
  </si>
  <si>
    <t>安全ﾌﾞﾚｰｶｰ</t>
  </si>
  <si>
    <t>ﾋﾞﾆｰﾙ配線</t>
  </si>
  <si>
    <t>CV2□-3C</t>
  </si>
  <si>
    <t>5.0×2×10</t>
  </si>
  <si>
    <t>接地工</t>
  </si>
  <si>
    <t>E3</t>
  </si>
  <si>
    <t>ヶ所</t>
  </si>
  <si>
    <t>0.6×0.6×3.14÷4×1.3×10</t>
  </si>
  <si>
    <t>3.7-3.4</t>
  </si>
  <si>
    <t>(0.6×0.6×3.14÷4×1.2+0.2×0.2×3.14÷4×0.1)×10</t>
  </si>
  <si>
    <t>0.6×0.6×3.14÷4×10</t>
  </si>
  <si>
    <t>1.1×10</t>
  </si>
  <si>
    <t>(0.25×0.25-0.15×0.15)×3.14÷4×0.1×10</t>
  </si>
  <si>
    <t>5.0×10</t>
  </si>
  <si>
    <t>HT-B1～B4 引込柱（メーター分電盤）</t>
  </si>
  <si>
    <t>0.6×0.6×3.14÷4×1.7×10</t>
  </si>
  <si>
    <t>4.8-4.6</t>
  </si>
  <si>
    <t>(0.6×0.6×3.14÷4×1.6+0.2×0.2×3.14÷4×0.1)×10</t>
  </si>
  <si>
    <t>0.6×0.6×3.14÷4×10</t>
  </si>
  <si>
    <t>1.5×10</t>
  </si>
  <si>
    <t>(0.6×0.6×3.14÷4×1.5-0.186×0.186×3.14÷4×0.9)×10</t>
  </si>
  <si>
    <t>(0.3×0.3-0.186×0.186)×3.14÷4×0.1×10</t>
  </si>
  <si>
    <t>引込柱</t>
  </si>
  <si>
    <t>ｱﾙﾐ、付属品共</t>
  </si>
  <si>
    <t>分電盤</t>
  </si>
  <si>
    <t>B1</t>
  </si>
  <si>
    <t>面</t>
  </si>
  <si>
    <t>B2</t>
  </si>
  <si>
    <t>B3</t>
  </si>
  <si>
    <t>B4</t>
  </si>
  <si>
    <t>EH ハンドホール</t>
  </si>
  <si>
    <t>(0.72+1.0)×(0.72+1.0)×1.0×10</t>
  </si>
  <si>
    <t>29.6-5.8</t>
  </si>
  <si>
    <t>(0.82×0.82×0.1+0.72×0.72×0.57+（0.72×0.72+0.87×0.87）÷2×0.15+0.87×0.87×0.08+0.87×0.87÷4×3.14×0.1)×10</t>
  </si>
  <si>
    <t>0.82×0.82×10</t>
  </si>
  <si>
    <t>0.82×0.82×10</t>
  </si>
  <si>
    <t>0.72×0.72×0.03×10</t>
  </si>
  <si>
    <t>ﾊﾝﾄﾞﾎｰﾙ用ｺﾝｸﾘｰﾄﾌﾞﾛｯｸ</t>
  </si>
  <si>
    <t>内径600　国交省Ｈ１－６型　575kg/基 鉄蓋共</t>
  </si>
  <si>
    <t xml:space="preserve">ｍ当り </t>
  </si>
  <si>
    <t>（FEP30で計算　→　外径φ40）</t>
  </si>
  <si>
    <t>0.3×0.640×10</t>
  </si>
  <si>
    <t>0.3×0.640×10</t>
  </si>
  <si>
    <t>電線管</t>
  </si>
  <si>
    <t>FEP30,40,50</t>
  </si>
  <si>
    <t>10×1.05</t>
  </si>
  <si>
    <t>付属品</t>
  </si>
  <si>
    <t>標識テープ</t>
  </si>
  <si>
    <t>塩化ビニールシート</t>
  </si>
  <si>
    <t>注意板</t>
  </si>
  <si>
    <t>1.4×0.9×0.6×10</t>
  </si>
  <si>
    <t>7.6-2.7</t>
  </si>
  <si>
    <t>(1.1×0.6×0.1+1.0×0.5×0.4+0.0605×0.0605×3.14×0.25×0.1×2)×10</t>
  </si>
  <si>
    <t>1.1×0.6×10</t>
  </si>
  <si>
    <t>(1.0×0.4×2+0.5×0.4×2)×10</t>
  </si>
  <si>
    <t>(1.0×0.5-0.0605×0.0605×3.14×0.25×2)×0.4×10</t>
  </si>
  <si>
    <t>フェンス基礎（180×180×450、φ50.8）</t>
  </si>
  <si>
    <t>KTE 階段手摺</t>
  </si>
  <si>
    <t xml:space="preserve">ｍ当り </t>
  </si>
  <si>
    <t>床掘</t>
  </si>
  <si>
    <t>（0.57+0.4）×0.55×10</t>
  </si>
  <si>
    <t>ｍ3</t>
  </si>
  <si>
    <t>埋戻</t>
  </si>
  <si>
    <t>5.3-2.9</t>
  </si>
  <si>
    <t>ｍ3</t>
  </si>
  <si>
    <t>残土処理</t>
  </si>
  <si>
    <t>(0.67×0.2+0.57×0.15+0.35×0.2）×10</t>
  </si>
  <si>
    <t>基面整正</t>
  </si>
  <si>
    <t>0.67×10</t>
  </si>
  <si>
    <t>0.67×10</t>
  </si>
  <si>
    <t>㎡</t>
  </si>
  <si>
    <t>㎡</t>
  </si>
  <si>
    <t>再生クラッシャーラン基礎</t>
  </si>
  <si>
    <t xml:space="preserve">
RC-40
't=150</t>
  </si>
  <si>
    <t xml:space="preserve">
RC-40
't=150</t>
  </si>
  <si>
    <t>均しコンクリート型枠</t>
  </si>
  <si>
    <t>(0.67×0.05+0.05×10)×2</t>
  </si>
  <si>
    <t>均しコンクリート</t>
  </si>
  <si>
    <t>18-8-25</t>
  </si>
  <si>
    <t>18-8-25</t>
  </si>
  <si>
    <t>0.67×0.05×10</t>
  </si>
  <si>
    <t>0.67×0.05×10</t>
  </si>
  <si>
    <t>m3</t>
  </si>
  <si>
    <t>m3</t>
  </si>
  <si>
    <t>コンクリート型枠</t>
  </si>
  <si>
    <t>(0.15×0.57+0.15×10)×2</t>
  </si>
  <si>
    <t>(0.15×0.57+0.15×10)×2</t>
  </si>
  <si>
    <t>コンクリート</t>
  </si>
  <si>
    <t>コンクリート</t>
  </si>
  <si>
    <t>0.57×0.15×10</t>
  </si>
  <si>
    <t>0.57×0.15×10</t>
  </si>
  <si>
    <t>裏込砕石</t>
  </si>
  <si>
    <t>0.25×0.2×10</t>
  </si>
  <si>
    <t>0.25×0.2×10</t>
  </si>
  <si>
    <t>止水コンクリート型枠</t>
  </si>
  <si>
    <t>0.2×0.15×2+0.15×10</t>
  </si>
  <si>
    <t>0.2×0.15×2+0.15×10</t>
  </si>
  <si>
    <t>止水コンクリート</t>
  </si>
  <si>
    <t>0.15×0.2×10</t>
  </si>
  <si>
    <t>0.15×0.2×10</t>
  </si>
  <si>
    <t>鉄筋D13</t>
  </si>
  <si>
    <t>＠400</t>
  </si>
  <si>
    <t>＠400</t>
  </si>
  <si>
    <t>1.11×25×0.995</t>
  </si>
  <si>
    <t>ｋｇ</t>
  </si>
  <si>
    <t>ｋｇ</t>
  </si>
  <si>
    <t>鉄筋D10</t>
  </si>
  <si>
    <t>9×10×0.56</t>
  </si>
  <si>
    <t>9×10×0.56</t>
  </si>
  <si>
    <t>モルタル
金ゴテ仕上</t>
  </si>
  <si>
    <t>0.15×10</t>
  </si>
  <si>
    <t>㎡</t>
  </si>
  <si>
    <t>水抜き管</t>
  </si>
  <si>
    <t>10×0.4÷2×0.15</t>
  </si>
  <si>
    <t>ｍ</t>
  </si>
  <si>
    <t>ｍ</t>
  </si>
  <si>
    <t>吸出防止材</t>
  </si>
  <si>
    <t>0.1×0.1×(10×0.4÷2)</t>
  </si>
  <si>
    <t>型枠ブロック</t>
  </si>
  <si>
    <t>25×3</t>
  </si>
  <si>
    <t>25×3</t>
  </si>
  <si>
    <t>個</t>
  </si>
  <si>
    <t>目地モルタル,
天端モルタル</t>
  </si>
  <si>
    <t>1：2</t>
  </si>
  <si>
    <t>1：2</t>
  </si>
  <si>
    <t>(24×0.6+10×2)×0.025×0.01+(0.11+0.15)×0.5×0.02×10</t>
  </si>
  <si>
    <t>(24×0.6+10×2)×0.025×0.01+(0.11+0.15)×0.5×0.02×10</t>
  </si>
  <si>
    <t>ｍ3</t>
  </si>
  <si>
    <t>充填コンクリート</t>
  </si>
  <si>
    <t>18-8-25</t>
  </si>
  <si>
    <t>0.15×0.6×10×0.586(空隙率）</t>
  </si>
  <si>
    <t>BD-60　ブロック土留</t>
  </si>
  <si>
    <t>（0.79+0.4）×0.55×10</t>
  </si>
  <si>
    <t>ｍ3</t>
  </si>
  <si>
    <t>6.5-3.7</t>
  </si>
  <si>
    <t>(0.89×0.2+0.79×0.15+0.35×0.2）×10</t>
  </si>
  <si>
    <t>0.89×10</t>
  </si>
  <si>
    <t>0.89×10</t>
  </si>
  <si>
    <t>㎡</t>
  </si>
  <si>
    <t xml:space="preserve">
RC-40
't=150</t>
  </si>
  <si>
    <t>(0.89×0.05+0.05×10)×2</t>
  </si>
  <si>
    <t>(0.89×0.05+0.05×10)×2</t>
  </si>
  <si>
    <t>18-8-25</t>
  </si>
  <si>
    <t>0.89×0.05×10</t>
  </si>
  <si>
    <t>0.89×0.05×10</t>
  </si>
  <si>
    <t>m3</t>
  </si>
  <si>
    <t>(0.15×0.79+0.15×10)×2</t>
  </si>
  <si>
    <t>(0.15×0.79+0.15×10)×2</t>
  </si>
  <si>
    <t>コンクリート</t>
  </si>
  <si>
    <t>24-8-25</t>
  </si>
  <si>
    <t>24-8-25</t>
  </si>
  <si>
    <t>0.79×0.15×10</t>
  </si>
  <si>
    <t>0.79×0.15×10</t>
  </si>
  <si>
    <t>0.45×0.2×10</t>
  </si>
  <si>
    <t>0.45×0.2×10</t>
  </si>
  <si>
    <t>0.2×0.15×2+0.15×10</t>
  </si>
  <si>
    <t>0.15×0.2×10</t>
  </si>
  <si>
    <t>＠400</t>
  </si>
  <si>
    <t>1.53×25×0.995</t>
  </si>
  <si>
    <t>ｋｇ</t>
  </si>
  <si>
    <t>10×10×0.56</t>
  </si>
  <si>
    <t>10×10×0.56</t>
  </si>
  <si>
    <t>0.15×10</t>
  </si>
  <si>
    <t>0.6×10÷2×0.15</t>
  </si>
  <si>
    <t>0.6×10÷2×0.15</t>
  </si>
  <si>
    <t>ｍ</t>
  </si>
  <si>
    <t>0.1×0.1×(0.6×10÷2)</t>
  </si>
  <si>
    <t>25×4</t>
  </si>
  <si>
    <t>25×4</t>
  </si>
  <si>
    <t>1：2</t>
  </si>
  <si>
    <t>(24×0.8+10×3)×0.025×0.01+(0.11+0.15)×0.5×0.02×10</t>
  </si>
  <si>
    <t>(24×0.8+10×3)×0.025×0.01+(0.11+0.15)×0.5×0.02×10</t>
  </si>
  <si>
    <t>0.15×0.8×10×0.586(空隙率）</t>
  </si>
  <si>
    <t>BD-80　ブロック土留</t>
  </si>
  <si>
    <t>（1.05+0.4）×0.55×10</t>
  </si>
  <si>
    <t>ｍ3</t>
  </si>
  <si>
    <t>8.0-4.6</t>
  </si>
  <si>
    <t>(1.15×0.2+1.05×0.15+0.35×0.2）×10</t>
  </si>
  <si>
    <t>1.15×10</t>
  </si>
  <si>
    <t>(1.15×0.05+0.05×10)×2</t>
  </si>
  <si>
    <t>1.15×0.05×10</t>
  </si>
  <si>
    <t>(0.15×1.05+0.15×10)×2</t>
  </si>
  <si>
    <t>1.05×0.15×10</t>
  </si>
  <si>
    <t>0.65×0.2×10</t>
  </si>
  <si>
    <t>1.99×25×0.995</t>
  </si>
  <si>
    <t>11×10×0.56</t>
  </si>
  <si>
    <t>0.8×10÷２×0.15</t>
  </si>
  <si>
    <t>0.1×0.1×（0.8×10÷２）</t>
  </si>
  <si>
    <t>㎡</t>
  </si>
  <si>
    <t>25×5</t>
  </si>
  <si>
    <t>25×5</t>
  </si>
  <si>
    <t>(24×1.0+10×4)×0.025×0.01+(0.11+0.15)×0.5×0.02×10</t>
  </si>
  <si>
    <t>0.15×1×10×0.586（空隙率）</t>
  </si>
  <si>
    <t>KBD-40　化粧ブロック土留</t>
  </si>
  <si>
    <t>（0.57+0.4）×0.55×10</t>
  </si>
  <si>
    <t>5.3-2.9</t>
  </si>
  <si>
    <t>(0.67×0.2+0.57×0.15+0.37×0.2）×10</t>
  </si>
  <si>
    <t>0.67×10</t>
  </si>
  <si>
    <t>㎡</t>
  </si>
  <si>
    <t>1.09×25×0.995</t>
  </si>
  <si>
    <t>モルタル
金ゴテ仕上</t>
  </si>
  <si>
    <t>0.4×10÷2×0.15</t>
  </si>
  <si>
    <t>0.1×0.1×(0.4×10÷2)</t>
  </si>
  <si>
    <t>化粧ブロック</t>
  </si>
  <si>
    <t>KBD-60　化粧ブロック土留</t>
  </si>
  <si>
    <t>（0.79+0.4）×0.55×10</t>
  </si>
  <si>
    <t>6.5-3.7</t>
  </si>
  <si>
    <t>(0.89×0.2+0.79×0.15+0.37×0.２）×10</t>
  </si>
  <si>
    <t>0.89×10</t>
  </si>
  <si>
    <t>1.51×25×0.995</t>
  </si>
  <si>
    <t>0.1×0.1×(0.6×10÷2）</t>
  </si>
  <si>
    <t>目地モルタル,
天端モルタル</t>
  </si>
  <si>
    <t>1：２</t>
  </si>
  <si>
    <t>0.15×0.8×10×0.586</t>
  </si>
  <si>
    <t>KBD-80　化粧ブロック土留</t>
  </si>
  <si>
    <t>(1.15×0.2+1.05×0.15+0.37×0.2）×10</t>
  </si>
  <si>
    <t>1.97×25×0.995</t>
  </si>
  <si>
    <t>0.8×10÷2×0.15</t>
  </si>
  <si>
    <t>0.1×0.1×(0.8×10÷2)</t>
  </si>
  <si>
    <t>目地モルタル,
天端モルタル</t>
  </si>
  <si>
    <t>1：2</t>
  </si>
  <si>
    <t>(24×1.0+10×4)×0.025×0.01+(0.11+0.15)×0.5×0.02×10</t>
  </si>
  <si>
    <t>ｍ3</t>
  </si>
  <si>
    <t>18-8-25</t>
  </si>
  <si>
    <t>BD-40　ブロック土留</t>
  </si>
  <si>
    <t>TP-5 透水管</t>
  </si>
  <si>
    <t xml:space="preserve">TP-10 透水管 </t>
  </si>
  <si>
    <t xml:space="preserve">TP-15 透水管 </t>
  </si>
  <si>
    <t xml:space="preserve">TP-20 透水管 </t>
  </si>
  <si>
    <t>CB-4K,K4R,K6K,K6R 注意板</t>
  </si>
  <si>
    <t>PM-60A～C 電線管</t>
  </si>
  <si>
    <t>KO-(A1～E2)-b 分電盤利用照明灯</t>
  </si>
  <si>
    <t>KO-(A1～E2)-a 単独引込照明灯</t>
  </si>
  <si>
    <t>PKT-A1 車止め</t>
  </si>
  <si>
    <t>(0.4+0.4)×(0.4+0.4)×0.3×10</t>
  </si>
  <si>
    <t>1.9-0.4</t>
  </si>
  <si>
    <t>(0.2×0.2×3.14×0.13-0.125×0.125×3.14×0.08)×10</t>
  </si>
  <si>
    <t>(0.4+0.4)×(0.4+0.4)×0.55×10</t>
  </si>
  <si>
    <t>(0.4×0.4×3.14÷4-0.1143×0.1143×3.14÷4)×0.45×10</t>
  </si>
  <si>
    <t>PKT-A2-1 車止め</t>
  </si>
  <si>
    <t>3.5-0.8</t>
  </si>
  <si>
    <t>(0.5×0.5×0.1+0.4×0.4×3.14÷4×0.45)×10</t>
  </si>
  <si>
    <t>(0.4×0.4×3.14÷4-0.1398×0.1398×3.14÷4)×0.45×10</t>
  </si>
  <si>
    <t>根巻モルタル</t>
  </si>
  <si>
    <t>1：3</t>
  </si>
  <si>
    <t>（0.075×0.075×3.14-0.057×0.057×3.14）×0.04×10</t>
  </si>
  <si>
    <t>0.5×0.5×10</t>
  </si>
  <si>
    <t>0.45×10</t>
  </si>
  <si>
    <t>(0.4×0.4×3.14÷4-0.1398×0.1398×3.14÷4)×0.49×10</t>
  </si>
  <si>
    <t>(0.3+0.4)×(0.3+0.4)×0.5×2×10</t>
  </si>
  <si>
    <t>4.9-0.9</t>
  </si>
  <si>
    <t>(0.4×0.4×0.1+0.3×0.3×3.14÷4×0.4)×2×10</t>
  </si>
  <si>
    <t>0.4×0.4×2×10</t>
  </si>
  <si>
    <t>0.4×2×10</t>
  </si>
  <si>
    <t>(0.3×0.3×3.14÷4×0.4-0.0427×0.0427×3.14÷4×0.3)×2×10</t>
  </si>
  <si>
    <t>(0.3+0.4)×(0.3+0.4)×0.5×2×10</t>
  </si>
  <si>
    <t>4.9-0.9</t>
  </si>
  <si>
    <t>(0.4×0.4×0.1+0.3×0.3×3.14÷4×0.4)×2×10</t>
  </si>
  <si>
    <t>0.4×0.4×2×10</t>
  </si>
  <si>
    <t>0.4×2×10</t>
  </si>
  <si>
    <t>(0.3×0.3×3.14÷4×0.4-0.0605×0.0605×3.14÷4×0.4)×2×10</t>
  </si>
  <si>
    <t>（0.075×0.075×3.14-0.057×0.057×3.14）×0.04×2×10</t>
  </si>
  <si>
    <t>GKT-A 車止め</t>
  </si>
  <si>
    <t>PKT-B2 車止め (2)</t>
  </si>
  <si>
    <t>PKT-B1 車止め</t>
  </si>
  <si>
    <t>PKT-A2-2 車止め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</si>
</sst>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.0_);[Red]\(0.0\)"/>
    <numFmt numFmtId="180" formatCode="0.00_);[Red]\(0.00\)"/>
    <numFmt numFmtId="181" formatCode="0.000_);[Red]\(0.000\)"/>
    <numFmt numFmtId="182" formatCode="0.0000"/>
    <numFmt numFmtId="183" formatCode="0.00000"/>
    <numFmt numFmtId="184" formatCode="0.000000"/>
    <numFmt numFmtId="185" formatCode="0.000"/>
    <numFmt numFmtId="186" formatCode="#,##0;[Red]\-#,##0;&quot;&quot;"/>
    <numFmt numFmtId="187" formatCode="0.0000_);[Red]\(0.0000\)"/>
    <numFmt numFmtId="188" formatCode="0.00000_);[Red]\(0.00000\)"/>
    <numFmt numFmtId="189" formatCode="0_);[Red]\(0\)"/>
    <numFmt numFmtId="190" formatCode="0.0"/>
    <numFmt numFmtId="191" formatCode="0.000000_);[Red]\(0.000000\)"/>
    <numFmt numFmtId="192" formatCode="0.0000000_);[Red]\(0.0000000\)"/>
    <numFmt numFmtId="193" formatCode="0.00000000_);[Red]\(0.00000000\)"/>
    <numFmt numFmtId="194" formatCode="0.000000000_);[Red]\(0.000000000\)"/>
    <numFmt numFmtId="195" formatCode="#,##0.0;[Red]\-#,##0.0"/>
    <numFmt numFmtId="196" formatCode="#,##0.000;[Red]\-#,##0.000"/>
    <numFmt numFmtId="197" formatCode="#,##0.0000;[Red]\-#,##0.0000"/>
    <numFmt numFmtId="198" formatCode="#,##0.00000;[Red]\-#,##0.00000"/>
    <numFmt numFmtId="199" formatCode="0.000_);\(0.000\)"/>
    <numFmt numFmtId="200" formatCode="#,##0_);[Red]\(#,##0\)"/>
    <numFmt numFmtId="201" formatCode="#,##0.00_);[Red]\(#,##0.00\)"/>
    <numFmt numFmtId="202" formatCode="#,##0.0_);[Red]\(#,##0.0\)"/>
    <numFmt numFmtId="203" formatCode="#,##0.000_);[Red]\(#,##0.000\)"/>
    <numFmt numFmtId="204" formatCode="#,##0.0000_);[Red]\(#,##0.00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ゴシック"/>
      <family val="3"/>
    </font>
    <font>
      <sz val="10"/>
      <name val="ＭＳ Ｐ明朝"/>
      <family val="1"/>
    </font>
    <font>
      <u val="single"/>
      <sz val="16"/>
      <name val="ＭＳ Ｐ明朝"/>
      <family val="1"/>
    </font>
    <font>
      <b/>
      <u val="single"/>
      <sz val="14"/>
      <name val="ＭＳ Ｐ明朝"/>
      <family val="1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0" fontId="32" fillId="0" borderId="0">
      <alignment/>
      <protection/>
    </xf>
    <xf numFmtId="0" fontId="5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80" fontId="4" fillId="0" borderId="14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 wrapText="1"/>
    </xf>
    <xf numFmtId="180" fontId="4" fillId="0" borderId="16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5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Continuous"/>
    </xf>
    <xf numFmtId="0" fontId="0" fillId="0" borderId="18" xfId="0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2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wrapText="1"/>
    </xf>
    <xf numFmtId="186" fontId="0" fillId="0" borderId="0" xfId="48" applyNumberFormat="1" applyFont="1" applyFill="1" applyAlignment="1">
      <alignment/>
    </xf>
    <xf numFmtId="179" fontId="4" fillId="0" borderId="14" xfId="0" applyNumberFormat="1" applyFont="1" applyFill="1" applyBorder="1" applyAlignment="1">
      <alignment horizontal="right"/>
    </xf>
    <xf numFmtId="38" fontId="4" fillId="0" borderId="15" xfId="48" applyFont="1" applyFill="1" applyBorder="1" applyAlignment="1">
      <alignment horizontal="left" wrapText="1"/>
    </xf>
    <xf numFmtId="179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wrapText="1"/>
    </xf>
    <xf numFmtId="181" fontId="4" fillId="0" borderId="14" xfId="0" applyNumberFormat="1" applyFont="1" applyFill="1" applyBorder="1" applyAlignment="1">
      <alignment/>
    </xf>
    <xf numFmtId="38" fontId="4" fillId="0" borderId="10" xfId="48" applyFont="1" applyFill="1" applyBorder="1" applyAlignment="1">
      <alignment horizontal="left" wrapText="1"/>
    </xf>
    <xf numFmtId="189" fontId="4" fillId="0" borderId="14" xfId="0" applyNumberFormat="1" applyFont="1" applyFill="1" applyBorder="1" applyAlignment="1">
      <alignment/>
    </xf>
    <xf numFmtId="179" fontId="4" fillId="0" borderId="16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center" wrapText="1"/>
    </xf>
    <xf numFmtId="0" fontId="4" fillId="0" borderId="30" xfId="0" applyNumberFormat="1" applyFont="1" applyFill="1" applyBorder="1" applyAlignment="1">
      <alignment horizontal="center" wrapText="1"/>
    </xf>
    <xf numFmtId="0" fontId="4" fillId="0" borderId="31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wrapText="1"/>
    </xf>
    <xf numFmtId="180" fontId="4" fillId="0" borderId="32" xfId="0" applyNumberFormat="1" applyFont="1" applyFill="1" applyBorder="1" applyAlignment="1">
      <alignment/>
    </xf>
    <xf numFmtId="186" fontId="0" fillId="0" borderId="0" xfId="0" applyNumberForma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86" fontId="0" fillId="0" borderId="0" xfId="48" applyNumberFormat="1" applyFill="1" applyAlignment="1">
      <alignment/>
    </xf>
    <xf numFmtId="0" fontId="4" fillId="0" borderId="11" xfId="0" applyNumberFormat="1" applyFont="1" applyFill="1" applyBorder="1" applyAlignment="1">
      <alignment horizontal="right" wrapText="1"/>
    </xf>
    <xf numFmtId="40" fontId="4" fillId="0" borderId="16" xfId="48" applyNumberFormat="1" applyFont="1" applyFill="1" applyBorder="1" applyAlignment="1">
      <alignment/>
    </xf>
    <xf numFmtId="195" fontId="4" fillId="0" borderId="16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/>
    </xf>
    <xf numFmtId="40" fontId="4" fillId="0" borderId="14" xfId="48" applyNumberFormat="1" applyFont="1" applyFill="1" applyBorder="1" applyAlignment="1">
      <alignment/>
    </xf>
    <xf numFmtId="196" fontId="4" fillId="0" borderId="16" xfId="48" applyNumberFormat="1" applyFont="1" applyFill="1" applyBorder="1" applyAlignment="1">
      <alignment/>
    </xf>
    <xf numFmtId="195" fontId="4" fillId="0" borderId="16" xfId="48" applyNumberFormat="1" applyFont="1" applyFill="1" applyBorder="1" applyAlignment="1">
      <alignment/>
    </xf>
    <xf numFmtId="195" fontId="4" fillId="0" borderId="14" xfId="48" applyNumberFormat="1" applyFont="1" applyFill="1" applyBorder="1" applyAlignment="1">
      <alignment/>
    </xf>
    <xf numFmtId="40" fontId="4" fillId="0" borderId="16" xfId="0" applyNumberFormat="1" applyFont="1" applyFill="1" applyBorder="1" applyAlignment="1">
      <alignment/>
    </xf>
    <xf numFmtId="0" fontId="11" fillId="0" borderId="22" xfId="0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horizontal="right"/>
    </xf>
    <xf numFmtId="0" fontId="6" fillId="0" borderId="33" xfId="0" applyFont="1" applyFill="1" applyBorder="1" applyAlignment="1">
      <alignment horizontal="left" indent="2"/>
    </xf>
    <xf numFmtId="0" fontId="6" fillId="0" borderId="34" xfId="0" applyFont="1" applyFill="1" applyBorder="1" applyAlignment="1">
      <alignment horizontal="left" indent="2"/>
    </xf>
    <xf numFmtId="0" fontId="0" fillId="0" borderId="34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wrapText="1"/>
    </xf>
    <xf numFmtId="0" fontId="12" fillId="0" borderId="22" xfId="0" applyFont="1" applyFill="1" applyBorder="1" applyAlignment="1">
      <alignment vertical="center"/>
    </xf>
    <xf numFmtId="189" fontId="4" fillId="0" borderId="16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" wrapText="1"/>
    </xf>
    <xf numFmtId="181" fontId="4" fillId="0" borderId="32" xfId="0" applyNumberFormat="1" applyFont="1" applyFill="1" applyBorder="1" applyAlignment="1">
      <alignment/>
    </xf>
    <xf numFmtId="186" fontId="0" fillId="0" borderId="0" xfId="50" applyNumberFormat="1" applyFill="1" applyAlignment="1">
      <alignment/>
    </xf>
    <xf numFmtId="38" fontId="4" fillId="0" borderId="15" xfId="50" applyFont="1" applyFill="1" applyBorder="1" applyAlignment="1">
      <alignment horizontal="left" wrapText="1"/>
    </xf>
    <xf numFmtId="40" fontId="4" fillId="0" borderId="16" xfId="50" applyNumberFormat="1" applyFont="1" applyFill="1" applyBorder="1" applyAlignment="1">
      <alignment/>
    </xf>
    <xf numFmtId="38" fontId="4" fillId="0" borderId="10" xfId="50" applyFont="1" applyFill="1" applyBorder="1" applyAlignment="1">
      <alignment horizontal="left" wrapText="1"/>
    </xf>
    <xf numFmtId="40" fontId="4" fillId="0" borderId="14" xfId="50" applyNumberFormat="1" applyFont="1" applyFill="1" applyBorder="1" applyAlignment="1">
      <alignment/>
    </xf>
    <xf numFmtId="186" fontId="0" fillId="0" borderId="0" xfId="50" applyNumberFormat="1" applyFont="1" applyFill="1" applyAlignment="1">
      <alignment/>
    </xf>
    <xf numFmtId="196" fontId="4" fillId="0" borderId="16" xfId="5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 wrapText="1"/>
    </xf>
    <xf numFmtId="189" fontId="4" fillId="0" borderId="14" xfId="0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center" wrapText="1"/>
    </xf>
    <xf numFmtId="180" fontId="4" fillId="0" borderId="14" xfId="50" applyNumberFormat="1" applyFont="1" applyFill="1" applyBorder="1" applyAlignment="1">
      <alignment/>
    </xf>
    <xf numFmtId="180" fontId="4" fillId="0" borderId="16" xfId="50" applyNumberFormat="1" applyFont="1" applyFill="1" applyBorder="1" applyAlignment="1">
      <alignment/>
    </xf>
    <xf numFmtId="40" fontId="4" fillId="0" borderId="14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/>
    </xf>
    <xf numFmtId="0" fontId="12" fillId="0" borderId="26" xfId="0" applyNumberFormat="1" applyFont="1" applyFill="1" applyBorder="1" applyAlignment="1">
      <alignment wrapText="1"/>
    </xf>
    <xf numFmtId="0" fontId="12" fillId="0" borderId="36" xfId="0" applyNumberFormat="1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5" fillId="0" borderId="17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9" fillId="0" borderId="0" xfId="0" applyFont="1" applyAlignment="1">
      <alignment/>
    </xf>
    <xf numFmtId="0" fontId="6" fillId="0" borderId="20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31" fillId="0" borderId="2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79" fontId="33" fillId="0" borderId="14" xfId="64" applyNumberFormat="1" applyFont="1" applyBorder="1" applyAlignment="1">
      <alignment horizontal="right"/>
      <protection/>
    </xf>
    <xf numFmtId="0" fontId="4" fillId="0" borderId="0" xfId="0" applyNumberFormat="1" applyFont="1" applyBorder="1" applyAlignment="1">
      <alignment horizontal="center" wrapText="1"/>
    </xf>
    <xf numFmtId="186" fontId="0" fillId="0" borderId="0" xfId="50" applyNumberFormat="1" applyFont="1" applyAlignment="1">
      <alignment/>
    </xf>
    <xf numFmtId="14" fontId="4" fillId="0" borderId="10" xfId="0" applyNumberFormat="1" applyFont="1" applyBorder="1" applyAlignment="1">
      <alignment horizontal="center" wrapText="1"/>
    </xf>
    <xf numFmtId="20" fontId="4" fillId="0" borderId="10" xfId="0" applyNumberFormat="1" applyFont="1" applyBorder="1" applyAlignment="1" quotePrefix="1">
      <alignment horizontal="center" wrapText="1"/>
    </xf>
    <xf numFmtId="0" fontId="4" fillId="0" borderId="10" xfId="0" applyNumberFormat="1" applyFont="1" applyBorder="1" applyAlignment="1" quotePrefix="1">
      <alignment horizontal="center" wrapText="1"/>
    </xf>
    <xf numFmtId="180" fontId="33" fillId="0" borderId="14" xfId="64" applyNumberFormat="1" applyFont="1" applyBorder="1" applyAlignment="1">
      <alignment horizontal="right"/>
      <protection/>
    </xf>
    <xf numFmtId="14" fontId="4" fillId="0" borderId="10" xfId="0" applyNumberFormat="1" applyFont="1" applyBorder="1" applyAlignment="1" quotePrefix="1">
      <alignment horizontal="center" wrapText="1"/>
    </xf>
    <xf numFmtId="180" fontId="33" fillId="0" borderId="14" xfId="64" applyNumberFormat="1" applyFont="1" applyBorder="1" applyAlignment="1">
      <alignment/>
      <protection/>
    </xf>
    <xf numFmtId="181" fontId="33" fillId="0" borderId="14" xfId="64" applyNumberFormat="1" applyFont="1" applyBorder="1" applyAlignment="1">
      <alignment/>
      <protection/>
    </xf>
    <xf numFmtId="180" fontId="33" fillId="0" borderId="14" xfId="64" applyNumberFormat="1" applyFont="1" applyBorder="1" applyAlignment="1">
      <alignment horizontal="center"/>
      <protection/>
    </xf>
    <xf numFmtId="0" fontId="4" fillId="0" borderId="10" xfId="0" applyFont="1" applyBorder="1" applyAlignment="1">
      <alignment wrapText="1"/>
    </xf>
    <xf numFmtId="181" fontId="4" fillId="0" borderId="14" xfId="0" applyNumberFormat="1" applyFont="1" applyBorder="1" applyAlignment="1">
      <alignment/>
    </xf>
    <xf numFmtId="0" fontId="4" fillId="0" borderId="30" xfId="0" applyNumberFormat="1" applyFont="1" applyBorder="1" applyAlignment="1">
      <alignment horizontal="center" wrapText="1"/>
    </xf>
    <xf numFmtId="0" fontId="4" fillId="0" borderId="31" xfId="0" applyNumberFormat="1" applyFont="1" applyBorder="1" applyAlignment="1">
      <alignment horizontal="center" wrapText="1"/>
    </xf>
    <xf numFmtId="0" fontId="4" fillId="0" borderId="31" xfId="0" applyFont="1" applyBorder="1" applyAlignment="1">
      <alignment wrapText="1"/>
    </xf>
    <xf numFmtId="180" fontId="4" fillId="0" borderId="32" xfId="0" applyNumberFormat="1" applyFont="1" applyBorder="1" applyAlignment="1">
      <alignment/>
    </xf>
    <xf numFmtId="186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81" fontId="33" fillId="0" borderId="14" xfId="64" applyNumberFormat="1" applyFont="1" applyBorder="1" applyAlignment="1">
      <alignment horizontal="right"/>
      <protection/>
    </xf>
    <xf numFmtId="181" fontId="33" fillId="0" borderId="14" xfId="64" applyNumberFormat="1" applyFont="1" applyBorder="1" applyAlignment="1">
      <alignment horizontal="center"/>
      <protection/>
    </xf>
    <xf numFmtId="38" fontId="4" fillId="0" borderId="16" xfId="50" applyNumberFormat="1" applyFont="1" applyFill="1" applyBorder="1" applyAlignment="1">
      <alignment/>
    </xf>
    <xf numFmtId="20" fontId="4" fillId="0" borderId="10" xfId="0" applyNumberFormat="1" applyFont="1" applyFill="1" applyBorder="1" applyAlignment="1" quotePrefix="1">
      <alignment horizont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材料計算書原稿（1段）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styles" Target="styles.xml" /><Relationship Id="rId127" Type="http://schemas.openxmlformats.org/officeDocument/2006/relationships/sharedStrings" Target="sharedStrings.xml" /><Relationship Id="rId128" Type="http://schemas.openxmlformats.org/officeDocument/2006/relationships/externalLink" Target="externalLinks/externalLink1.xml" /><Relationship Id="rId129" Type="http://schemas.openxmlformats.org/officeDocument/2006/relationships/externalLink" Target="externalLinks/externalLink2.xml" /><Relationship Id="rId130" Type="http://schemas.openxmlformats.org/officeDocument/2006/relationships/externalLink" Target="externalLinks/externalLink3.xml" /><Relationship Id="rId1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314325</xdr:rowOff>
    </xdr:from>
    <xdr:to>
      <xdr:col>5</xdr:col>
      <xdr:colOff>476250</xdr:colOff>
      <xdr:row>4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838825" y="1314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3" name="Line 5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314325</xdr:rowOff>
    </xdr:from>
    <xdr:to>
      <xdr:col>5</xdr:col>
      <xdr:colOff>476250</xdr:colOff>
      <xdr:row>4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838825" y="1314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314325</xdr:rowOff>
    </xdr:from>
    <xdr:to>
      <xdr:col>5</xdr:col>
      <xdr:colOff>476250</xdr:colOff>
      <xdr:row>4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838825" y="1314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314325</xdr:rowOff>
    </xdr:from>
    <xdr:to>
      <xdr:col>5</xdr:col>
      <xdr:colOff>476250</xdr:colOff>
      <xdr:row>4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838825" y="1314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314325</xdr:rowOff>
    </xdr:from>
    <xdr:to>
      <xdr:col>5</xdr:col>
      <xdr:colOff>476250</xdr:colOff>
      <xdr:row>4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838825" y="1314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90550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90550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90550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314325</xdr:rowOff>
    </xdr:from>
    <xdr:to>
      <xdr:col>5</xdr:col>
      <xdr:colOff>476250</xdr:colOff>
      <xdr:row>4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838825" y="1314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314325</xdr:rowOff>
    </xdr:from>
    <xdr:to>
      <xdr:col>5</xdr:col>
      <xdr:colOff>476250</xdr:colOff>
      <xdr:row>14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5734050" y="5343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&#38598;&#25913;&#23450;_&#35336;&#3163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032;&#33538;&#20013;&#22830;&#20844;&#22290;_&#25968;&#37327;&#35336;&#3163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-B　土舗装"/>
      <sheetName val="GK 擬木階段"/>
      <sheetName val="GKS　袖壁擬木丸太2連"/>
      <sheetName val="CK-A　コンクリート階段"/>
      <sheetName val="PA パーゴラ"/>
      <sheetName val="SMB-180A　再生木ベンチ"/>
      <sheetName val="SMB-180A-T　再生木ベンチ"/>
      <sheetName val="SMB-180B　再生木ベンチ"/>
      <sheetName val="FSU　FRP滑台"/>
      <sheetName val="MP　砂場門扉"/>
      <sheetName val="TW-A　手洗場"/>
      <sheetName val="TW-B　手洗場"/>
      <sheetName val="SC　水栓柱"/>
      <sheetName val="BD-40　ブロック土留"/>
      <sheetName val="BD-60　ブロック土留"/>
      <sheetName val="BD-80　ブロック土留"/>
      <sheetName val="KBD-40　化粧ブロック土留"/>
      <sheetName val="KBD-60　化粧ブロック土留"/>
      <sheetName val="KBD-80　化粧ブロック土留"/>
      <sheetName val="PKT-A1 車止め"/>
      <sheetName val="PKT-A2-1 車止め"/>
      <sheetName val="PKT-A2-2 車止め"/>
      <sheetName val="PKT-B1 車止め"/>
      <sheetName val="PKT-B2 車止め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1"/>
      <sheetName val="総括表 "/>
      <sheetName val="土量（造成）０１"/>
      <sheetName val="施設土工"/>
      <sheetName val="撤去集計"/>
      <sheetName val="数量計算書"/>
      <sheetName val="Sheet11 (2)"/>
      <sheetName val="概算工事費"/>
      <sheetName val="アスファルト舗装"/>
      <sheetName val="土舗装"/>
      <sheetName val="高尺フェンス　NF-500　移設"/>
      <sheetName val="空洞ブロック-1"/>
      <sheetName val="空洞ブロック-2"/>
      <sheetName val="空洞ブロック-2 (2)"/>
      <sheetName val="フェンス　NFK120"/>
      <sheetName val="U型側溝　UA-24"/>
      <sheetName val="集水桝　RM30"/>
      <sheetName val="アスファルト撤去"/>
      <sheetName val="U側溝撤去"/>
      <sheetName val="高尺フェンス撤去"/>
      <sheetName val="空洞ブロック撤去"/>
      <sheetName val="フェンス撤去"/>
      <sheetName val="材料表"/>
    </sheetNames>
    <sheetDataSet>
      <sheetData sheetId="22">
        <row r="40">
          <cell r="A40">
            <v>1</v>
          </cell>
          <cell r="B40" t="str">
            <v>床掘</v>
          </cell>
          <cell r="C40" t="str">
            <v> </v>
          </cell>
          <cell r="D40" t="str">
            <v>ｍ3</v>
          </cell>
          <cell r="E40">
            <v>700</v>
          </cell>
        </row>
        <row r="41">
          <cell r="A41">
            <v>2</v>
          </cell>
          <cell r="B41" t="str">
            <v>埋戻</v>
          </cell>
          <cell r="C41" t="str">
            <v> </v>
          </cell>
          <cell r="D41" t="str">
            <v>ｍ3</v>
          </cell>
          <cell r="E41">
            <v>2400</v>
          </cell>
        </row>
        <row r="42">
          <cell r="A42">
            <v>3</v>
          </cell>
          <cell r="B42" t="str">
            <v>残土処分</v>
          </cell>
          <cell r="C42" t="str">
            <v> </v>
          </cell>
          <cell r="D42" t="str">
            <v>ｍ3</v>
          </cell>
          <cell r="E42">
            <v>200</v>
          </cell>
        </row>
        <row r="43">
          <cell r="A43">
            <v>4</v>
          </cell>
          <cell r="B43" t="str">
            <v>すきとり</v>
          </cell>
          <cell r="C43" t="str">
            <v> </v>
          </cell>
          <cell r="D43" t="str">
            <v>ｍ3</v>
          </cell>
          <cell r="E43">
            <v>250</v>
          </cell>
        </row>
        <row r="44">
          <cell r="A44">
            <v>5</v>
          </cell>
          <cell r="B44" t="str">
            <v>基面整正</v>
          </cell>
          <cell r="C44" t="str">
            <v> </v>
          </cell>
          <cell r="D44" t="str">
            <v>ｍ2</v>
          </cell>
          <cell r="E44">
            <v>300</v>
          </cell>
        </row>
        <row r="45">
          <cell r="A45">
            <v>6</v>
          </cell>
          <cell r="B45" t="str">
            <v>土工なし</v>
          </cell>
          <cell r="C45" t="str">
            <v>　</v>
          </cell>
          <cell r="D45" t="str">
            <v>　</v>
          </cell>
          <cell r="E45">
            <v>0</v>
          </cell>
        </row>
        <row r="46">
          <cell r="A46">
            <v>7</v>
          </cell>
          <cell r="B46" t="str">
            <v>路床工</v>
          </cell>
          <cell r="C46" t="str">
            <v> </v>
          </cell>
          <cell r="D46" t="str">
            <v>ｍ2</v>
          </cell>
          <cell r="E46">
            <v>150</v>
          </cell>
        </row>
        <row r="47">
          <cell r="A47">
            <v>8</v>
          </cell>
          <cell r="B47" t="str">
            <v>再生ｸﾗｯｼｬｰﾗﾝ　</v>
          </cell>
          <cell r="C47" t="str">
            <v>（ＲＣ-40）路盤ｔ100</v>
          </cell>
          <cell r="D47" t="str">
            <v>ｍ2</v>
          </cell>
          <cell r="E47">
            <v>700</v>
          </cell>
        </row>
        <row r="48">
          <cell r="A48">
            <v>9</v>
          </cell>
          <cell r="B48" t="str">
            <v>再生ｸﾗｯｼｬｰﾗﾝ　</v>
          </cell>
          <cell r="C48" t="str">
            <v>（ＲＣ-40）路盤ｔ150</v>
          </cell>
          <cell r="D48" t="str">
            <v>ｍ2</v>
          </cell>
          <cell r="E48">
            <v>800</v>
          </cell>
        </row>
        <row r="49">
          <cell r="A49">
            <v>10</v>
          </cell>
          <cell r="B49" t="str">
            <v>再生ｸﾗｯｼｬｰﾗﾝ　</v>
          </cell>
          <cell r="C49" t="str">
            <v>（ＲＣ-30）路盤ｔ100</v>
          </cell>
          <cell r="D49" t="str">
            <v>ｍ2</v>
          </cell>
        </row>
        <row r="50">
          <cell r="A50">
            <v>11</v>
          </cell>
          <cell r="B50" t="str">
            <v>ｸﾗｯｼｬｰﾗﾝ　</v>
          </cell>
          <cell r="C50" t="str">
            <v>（Ｃ-40）路盤ｔ150</v>
          </cell>
          <cell r="D50" t="str">
            <v>ｍ2</v>
          </cell>
        </row>
        <row r="51">
          <cell r="A51">
            <v>12</v>
          </cell>
          <cell r="B51" t="str">
            <v>下層路盤工</v>
          </cell>
          <cell r="C51" t="str">
            <v>再生ｸﾗｯｼｬｰﾗﾝ　　　　　（ＲＣ-30）ｔ150</v>
          </cell>
          <cell r="D51" t="str">
            <v>ｍ2</v>
          </cell>
          <cell r="E51">
            <v>800</v>
          </cell>
        </row>
        <row r="52">
          <cell r="A52">
            <v>13</v>
          </cell>
          <cell r="B52" t="str">
            <v>下層路盤工</v>
          </cell>
          <cell r="C52" t="str">
            <v>再生ｸﾗｯｼｬｰﾗﾝ　　　　　（ＲＣ-30）ｔ200</v>
          </cell>
          <cell r="D52" t="str">
            <v>ｍ2</v>
          </cell>
          <cell r="E52">
            <v>900</v>
          </cell>
        </row>
        <row r="53">
          <cell r="A53">
            <v>14</v>
          </cell>
          <cell r="B53" t="str">
            <v>上層路盤工</v>
          </cell>
          <cell r="C53" t="str">
            <v>粒度調整砕石（Ｍ-30）ｔ100</v>
          </cell>
          <cell r="D53" t="str">
            <v>ｍ2</v>
          </cell>
        </row>
        <row r="54">
          <cell r="A54">
            <v>15</v>
          </cell>
          <cell r="B54" t="str">
            <v>上層路盤工</v>
          </cell>
          <cell r="C54" t="str">
            <v>粒度調整砕石（Ｍ-30）ｔ150</v>
          </cell>
          <cell r="D54" t="str">
            <v>ｍ2</v>
          </cell>
        </row>
        <row r="55">
          <cell r="A55">
            <v>16</v>
          </cell>
          <cell r="B55" t="str">
            <v>上層路盤工</v>
          </cell>
          <cell r="C55" t="str">
            <v>粒度調整砕石（HMS-25）ｔ120</v>
          </cell>
          <cell r="D55" t="str">
            <v>ｍ2</v>
          </cell>
        </row>
        <row r="56">
          <cell r="A56">
            <v>17</v>
          </cell>
          <cell r="B56" t="str">
            <v>法面整形</v>
          </cell>
          <cell r="C56" t="str">
            <v>切土　機械</v>
          </cell>
          <cell r="D56" t="str">
            <v>ｍ2</v>
          </cell>
        </row>
        <row r="57">
          <cell r="A57">
            <v>18</v>
          </cell>
          <cell r="B57" t="str">
            <v>プライムコート</v>
          </cell>
          <cell r="C57" t="str">
            <v>市積算要領による</v>
          </cell>
          <cell r="D57" t="str">
            <v>㍑</v>
          </cell>
        </row>
        <row r="58">
          <cell r="A58">
            <v>19</v>
          </cell>
          <cell r="B58" t="str">
            <v>ｸｯｼｮﾝ用砂</v>
          </cell>
          <cell r="C58" t="str">
            <v>t30</v>
          </cell>
          <cell r="D58" t="str">
            <v>ｍ3</v>
          </cell>
        </row>
        <row r="59">
          <cell r="A59">
            <v>20</v>
          </cell>
          <cell r="B59" t="str">
            <v>ｸｯｼｮﾝ用砂</v>
          </cell>
          <cell r="C59" t="str">
            <v>t20</v>
          </cell>
          <cell r="D59" t="str">
            <v>ｍ3</v>
          </cell>
        </row>
        <row r="60">
          <cell r="A60">
            <v>21</v>
          </cell>
          <cell r="B60" t="str">
            <v>モルタル</v>
          </cell>
          <cell r="C60" t="str">
            <v>1：3空練り</v>
          </cell>
          <cell r="D60" t="str">
            <v>ｍ3</v>
          </cell>
        </row>
        <row r="61">
          <cell r="A61">
            <v>22</v>
          </cell>
          <cell r="B61" t="str">
            <v>モルタル</v>
          </cell>
          <cell r="C61" t="str">
            <v>1：3</v>
          </cell>
          <cell r="D61" t="str">
            <v>ｍ3</v>
          </cell>
        </row>
        <row r="62">
          <cell r="A62">
            <v>23</v>
          </cell>
          <cell r="B62" t="str">
            <v>モルタル</v>
          </cell>
          <cell r="C62" t="str">
            <v>1：2</v>
          </cell>
          <cell r="D62" t="str">
            <v>ｍ3</v>
          </cell>
        </row>
        <row r="63">
          <cell r="A63">
            <v>24</v>
          </cell>
          <cell r="B63" t="str">
            <v>モルタル</v>
          </cell>
          <cell r="C63" t="str">
            <v>1：3　ｱ20　壁</v>
          </cell>
          <cell r="D63" t="str">
            <v>㎡</v>
          </cell>
        </row>
        <row r="64">
          <cell r="A64">
            <v>25</v>
          </cell>
          <cell r="B64" t="str">
            <v>モルタル</v>
          </cell>
          <cell r="C64" t="str">
            <v>1：3　ｱ20　床</v>
          </cell>
          <cell r="D64" t="str">
            <v>㎡</v>
          </cell>
        </row>
        <row r="65">
          <cell r="A65">
            <v>26</v>
          </cell>
          <cell r="B65" t="str">
            <v>掘削</v>
          </cell>
          <cell r="C65" t="str">
            <v>　</v>
          </cell>
          <cell r="D65" t="str">
            <v>ｍ3</v>
          </cell>
        </row>
        <row r="66">
          <cell r="A66">
            <v>27</v>
          </cell>
          <cell r="B66" t="str">
            <v>発生土盛土</v>
          </cell>
          <cell r="C66" t="str">
            <v>　</v>
          </cell>
          <cell r="D66" t="str">
            <v>ｍ3</v>
          </cell>
        </row>
        <row r="67">
          <cell r="A67">
            <v>28</v>
          </cell>
          <cell r="B67" t="str">
            <v>表層工</v>
          </cell>
          <cell r="C67" t="str">
            <v>密粒度ｱｽｺﾝ　13　　　　　　　　ｔ30</v>
          </cell>
          <cell r="D67" t="str">
            <v>㎡</v>
          </cell>
        </row>
        <row r="68">
          <cell r="A68">
            <v>29</v>
          </cell>
          <cell r="B68" t="str">
            <v>表層工</v>
          </cell>
          <cell r="C68" t="str">
            <v>密粒度ｱｽｺﾝ　20　ｔ40</v>
          </cell>
          <cell r="D68" t="str">
            <v>㎡</v>
          </cell>
        </row>
        <row r="69">
          <cell r="A69">
            <v>30</v>
          </cell>
          <cell r="B69" t="str">
            <v>表層工</v>
          </cell>
          <cell r="C69" t="str">
            <v>粗粒度ｱｽｺﾝ　ｔ40</v>
          </cell>
          <cell r="D69" t="str">
            <v>㎡</v>
          </cell>
        </row>
        <row r="70">
          <cell r="A70">
            <v>31</v>
          </cell>
          <cell r="B70" t="str">
            <v>表層工</v>
          </cell>
          <cell r="C70" t="str">
            <v>自然色ｱｽｺﾝ　t=60</v>
          </cell>
          <cell r="D70" t="str">
            <v>m3</v>
          </cell>
        </row>
        <row r="71">
          <cell r="A71">
            <v>32</v>
          </cell>
          <cell r="B71" t="str">
            <v>表層工</v>
          </cell>
          <cell r="C71" t="str">
            <v>脱色ｱｽコン　ｔ＝40</v>
          </cell>
          <cell r="D71" t="str">
            <v>㎡</v>
          </cell>
        </row>
        <row r="72">
          <cell r="A72">
            <v>33</v>
          </cell>
          <cell r="B72" t="str">
            <v>再生ｸﾗｯｼｬｰﾗﾝ</v>
          </cell>
          <cell r="C72" t="str">
            <v>（RC-30）基礎ｔ100</v>
          </cell>
          <cell r="D72" t="str">
            <v>ｍ2</v>
          </cell>
        </row>
        <row r="73">
          <cell r="A73">
            <v>34</v>
          </cell>
          <cell r="B73" t="str">
            <v>再生ｸﾗｯｼｬｰﾗﾝ</v>
          </cell>
          <cell r="C73" t="str">
            <v>（RC-40）基礎ｔ100</v>
          </cell>
          <cell r="D73" t="str">
            <v>ｍ2</v>
          </cell>
        </row>
        <row r="74">
          <cell r="A74">
            <v>35</v>
          </cell>
          <cell r="B74" t="str">
            <v>再生ｸﾗｯｼｬｰﾗﾝ</v>
          </cell>
          <cell r="C74" t="str">
            <v>（RC-40）基礎ｔ150</v>
          </cell>
          <cell r="D74" t="str">
            <v>ｍ2</v>
          </cell>
        </row>
        <row r="75">
          <cell r="A75">
            <v>36</v>
          </cell>
          <cell r="B75" t="str">
            <v>再生ｸﾗｯｼｬｰﾗﾝ</v>
          </cell>
          <cell r="C75" t="str">
            <v>（RC-40）基礎ｔ200</v>
          </cell>
          <cell r="D75" t="str">
            <v>ｍ2</v>
          </cell>
        </row>
        <row r="76">
          <cell r="A76">
            <v>37</v>
          </cell>
          <cell r="B76" t="str">
            <v>裏込砕石</v>
          </cell>
          <cell r="C76" t="str">
            <v>ｸﾗｯｼｬｰﾗﾝ（C-40）</v>
          </cell>
          <cell r="D76" t="str">
            <v>ｍ3</v>
          </cell>
        </row>
        <row r="77">
          <cell r="A77">
            <v>38</v>
          </cell>
          <cell r="B77" t="str">
            <v>ｸﾗｯｼｬｰﾗﾝ</v>
          </cell>
          <cell r="C77" t="str">
            <v>（C-40）基礎ｔ100</v>
          </cell>
          <cell r="D77" t="str">
            <v>ｍ2</v>
          </cell>
        </row>
        <row r="78">
          <cell r="A78">
            <v>39</v>
          </cell>
          <cell r="B78" t="str">
            <v>裏込砕石</v>
          </cell>
          <cell r="C78" t="str">
            <v>再生ｸﾗｯｼｬｰﾗﾝ（RC-40）</v>
          </cell>
          <cell r="D78" t="str">
            <v>m3</v>
          </cell>
        </row>
        <row r="79">
          <cell r="A79">
            <v>40</v>
          </cell>
          <cell r="B79" t="str">
            <v>コンクリート</v>
          </cell>
          <cell r="C79" t="str">
            <v>18-8-40BB　均し</v>
          </cell>
          <cell r="D79" t="str">
            <v>ｍ3</v>
          </cell>
        </row>
        <row r="80">
          <cell r="A80">
            <v>41</v>
          </cell>
          <cell r="B80" t="str">
            <v>コンクリート</v>
          </cell>
          <cell r="C80" t="str">
            <v>18-8-40BB　</v>
          </cell>
          <cell r="D80" t="str">
            <v>ｍ3</v>
          </cell>
        </row>
        <row r="81">
          <cell r="A81">
            <v>42</v>
          </cell>
          <cell r="B81" t="str">
            <v>コンクリート</v>
          </cell>
          <cell r="C81" t="str">
            <v>18-8-20BB　</v>
          </cell>
          <cell r="D81" t="str">
            <v>ｍ3</v>
          </cell>
        </row>
        <row r="82">
          <cell r="A82">
            <v>43</v>
          </cell>
          <cell r="B82" t="str">
            <v>コンクリート</v>
          </cell>
          <cell r="C82" t="str">
            <v>24-8-20BB　鉄筋</v>
          </cell>
          <cell r="D82" t="str">
            <v>ｍ3</v>
          </cell>
        </row>
        <row r="83">
          <cell r="A83">
            <v>44</v>
          </cell>
          <cell r="B83" t="str">
            <v>コンクリート</v>
          </cell>
          <cell r="C83" t="str">
            <v>24-8-25(20)BB　        鉄筋</v>
          </cell>
          <cell r="D83" t="str">
            <v>ｍ3</v>
          </cell>
        </row>
        <row r="84">
          <cell r="A84">
            <v>45</v>
          </cell>
          <cell r="B84" t="str">
            <v>コンクリート</v>
          </cell>
          <cell r="C84" t="str">
            <v>21-8-25BB　鉄筋</v>
          </cell>
          <cell r="D84" t="str">
            <v>ｍ3</v>
          </cell>
        </row>
        <row r="85">
          <cell r="A85">
            <v>46</v>
          </cell>
          <cell r="B85" t="str">
            <v>溶接金網</v>
          </cell>
          <cell r="C85" t="str">
            <v>φ6×150×150</v>
          </cell>
          <cell r="D85" t="str">
            <v>㎡</v>
          </cell>
        </row>
        <row r="86">
          <cell r="A86">
            <v>47</v>
          </cell>
          <cell r="B86" t="str">
            <v>中詰コンクリート</v>
          </cell>
          <cell r="C86" t="str">
            <v>18-8-40BB　無筋</v>
          </cell>
          <cell r="D86" t="str">
            <v>ｍ3</v>
          </cell>
        </row>
        <row r="87">
          <cell r="A87">
            <v>48</v>
          </cell>
          <cell r="B87" t="str">
            <v>胴込砕石</v>
          </cell>
          <cell r="C87" t="str">
            <v>再生ｸﾗｯｼｬｰﾗﾝ（RC-40）</v>
          </cell>
          <cell r="D87" t="str">
            <v>m3</v>
          </cell>
        </row>
        <row r="88">
          <cell r="A88">
            <v>49</v>
          </cell>
          <cell r="B88" t="str">
            <v>円形型枠</v>
          </cell>
          <cell r="C88" t="str">
            <v>φ75</v>
          </cell>
          <cell r="D88" t="str">
            <v>ｍ</v>
          </cell>
        </row>
        <row r="89">
          <cell r="A89">
            <v>50</v>
          </cell>
          <cell r="B89" t="str">
            <v>型枠</v>
          </cell>
          <cell r="C89" t="str">
            <v>均し</v>
          </cell>
          <cell r="D89" t="str">
            <v>ｍ2</v>
          </cell>
        </row>
        <row r="90">
          <cell r="A90">
            <v>51</v>
          </cell>
          <cell r="B90" t="str">
            <v>型枠</v>
          </cell>
          <cell r="C90" t="str">
            <v>小型</v>
          </cell>
          <cell r="D90" t="str">
            <v>ｍ2</v>
          </cell>
        </row>
        <row r="91">
          <cell r="A91">
            <v>52</v>
          </cell>
          <cell r="B91" t="str">
            <v>型枠</v>
          </cell>
          <cell r="C91" t="str">
            <v>小型</v>
          </cell>
          <cell r="D91" t="str">
            <v>ｍ2</v>
          </cell>
        </row>
        <row r="92">
          <cell r="A92">
            <v>53</v>
          </cell>
          <cell r="B92" t="str">
            <v>型枠</v>
          </cell>
          <cell r="C92" t="str">
            <v>無筋</v>
          </cell>
          <cell r="D92" t="str">
            <v>ｍ2</v>
          </cell>
        </row>
        <row r="93">
          <cell r="A93">
            <v>54</v>
          </cell>
          <cell r="B93" t="str">
            <v>型枠</v>
          </cell>
          <cell r="C93" t="str">
            <v>鉄筋　H＞4ｍ</v>
          </cell>
          <cell r="D93" t="str">
            <v>ｍ2</v>
          </cell>
        </row>
        <row r="94">
          <cell r="A94">
            <v>55</v>
          </cell>
          <cell r="B94" t="str">
            <v>型枠</v>
          </cell>
          <cell r="C94" t="str">
            <v>鉄筋　H＜4ｍ</v>
          </cell>
          <cell r="D94" t="str">
            <v>ｍ2</v>
          </cell>
        </row>
        <row r="95">
          <cell r="A95">
            <v>56</v>
          </cell>
          <cell r="B95" t="str">
            <v>型枠</v>
          </cell>
          <cell r="C95" t="str">
            <v>打放し</v>
          </cell>
          <cell r="D95" t="str">
            <v>ｍ2</v>
          </cell>
        </row>
        <row r="96">
          <cell r="A96">
            <v>57</v>
          </cell>
          <cell r="B96" t="str">
            <v>円形型枠</v>
          </cell>
          <cell r="C96" t="str">
            <v>φ125</v>
          </cell>
          <cell r="D96" t="str">
            <v>ｍ</v>
          </cell>
        </row>
        <row r="97">
          <cell r="A97">
            <v>58</v>
          </cell>
          <cell r="B97" t="str">
            <v>円形型枠</v>
          </cell>
          <cell r="C97" t="str">
            <v>φ200</v>
          </cell>
          <cell r="D97" t="str">
            <v>ｍ</v>
          </cell>
        </row>
        <row r="98">
          <cell r="A98">
            <v>59</v>
          </cell>
          <cell r="B98" t="str">
            <v>足場工</v>
          </cell>
          <cell r="C98" t="str">
            <v>　</v>
          </cell>
          <cell r="D98" t="str">
            <v>掛㎡</v>
          </cell>
        </row>
        <row r="99">
          <cell r="A99">
            <v>60</v>
          </cell>
          <cell r="B99" t="str">
            <v>支保工</v>
          </cell>
          <cell r="C99" t="str">
            <v>　</v>
          </cell>
          <cell r="D99" t="str">
            <v>空ｍ3</v>
          </cell>
        </row>
        <row r="100">
          <cell r="A100">
            <v>61</v>
          </cell>
          <cell r="B100" t="str">
            <v>コンクリート撤去</v>
          </cell>
          <cell r="C100" t="str">
            <v>無筋</v>
          </cell>
          <cell r="D100" t="str">
            <v>ｍ3</v>
          </cell>
        </row>
        <row r="101">
          <cell r="A101">
            <v>62</v>
          </cell>
          <cell r="B101" t="str">
            <v>コンクリート撤去</v>
          </cell>
          <cell r="C101" t="str">
            <v>無筋</v>
          </cell>
          <cell r="D101" t="str">
            <v>ｍ3</v>
          </cell>
        </row>
        <row r="102">
          <cell r="A102">
            <v>63</v>
          </cell>
          <cell r="B102" t="str">
            <v>地先境界ブロック</v>
          </cell>
          <cell r="C102" t="str">
            <v>擬石150×150×600</v>
          </cell>
          <cell r="D102" t="str">
            <v>ｍ</v>
          </cell>
          <cell r="E102">
            <v>7920</v>
          </cell>
        </row>
        <row r="103">
          <cell r="A103">
            <v>64</v>
          </cell>
          <cell r="B103" t="str">
            <v>地先境界ブロック</v>
          </cell>
          <cell r="C103" t="str">
            <v>擬石100×100×600</v>
          </cell>
          <cell r="D103" t="str">
            <v>ｍ</v>
          </cell>
          <cell r="E103">
            <v>5230</v>
          </cell>
        </row>
        <row r="104">
          <cell r="A104">
            <v>65</v>
          </cell>
          <cell r="B104" t="str">
            <v>支保工</v>
          </cell>
          <cell r="C104" t="str">
            <v> </v>
          </cell>
          <cell r="D104" t="str">
            <v>空ｍ3</v>
          </cell>
        </row>
        <row r="105">
          <cell r="A105">
            <v>66</v>
          </cell>
          <cell r="B105" t="str">
            <v>水抜きパイプ</v>
          </cell>
          <cell r="C105" t="str">
            <v>ＶＵφ75</v>
          </cell>
          <cell r="D105" t="str">
            <v>ｍ</v>
          </cell>
        </row>
        <row r="106">
          <cell r="A106">
            <v>67</v>
          </cell>
          <cell r="B106" t="str">
            <v>伸縮目地</v>
          </cell>
          <cell r="C106" t="str">
            <v>樹脂発泡体　t10</v>
          </cell>
          <cell r="D106" t="str">
            <v>㎡</v>
          </cell>
        </row>
        <row r="107">
          <cell r="A107">
            <v>68</v>
          </cell>
          <cell r="B107" t="str">
            <v>足場工</v>
          </cell>
          <cell r="C107" t="str">
            <v>枠組足場</v>
          </cell>
          <cell r="D107" t="str">
            <v>掛㎡</v>
          </cell>
        </row>
        <row r="108">
          <cell r="A108">
            <v>69</v>
          </cell>
          <cell r="B108" t="str">
            <v>鉄筋</v>
          </cell>
          <cell r="C108" t="str">
            <v>SD345  Ｄ25</v>
          </cell>
          <cell r="D108" t="str">
            <v>kg</v>
          </cell>
        </row>
        <row r="109">
          <cell r="A109">
            <v>70</v>
          </cell>
          <cell r="B109" t="str">
            <v>鉄筋</v>
          </cell>
          <cell r="C109" t="str">
            <v>Ｄ１0</v>
          </cell>
          <cell r="D109" t="str">
            <v>ｔ</v>
          </cell>
        </row>
        <row r="110">
          <cell r="A110">
            <v>71</v>
          </cell>
          <cell r="B110" t="str">
            <v>鉄筋</v>
          </cell>
          <cell r="C110" t="str">
            <v>Ｄ１3</v>
          </cell>
          <cell r="D110" t="str">
            <v>ｔ</v>
          </cell>
        </row>
        <row r="111">
          <cell r="A111">
            <v>72</v>
          </cell>
          <cell r="B111" t="str">
            <v>鉄筋</v>
          </cell>
          <cell r="C111" t="str">
            <v>Ｄ１6</v>
          </cell>
          <cell r="D111" t="str">
            <v>kg</v>
          </cell>
        </row>
        <row r="112">
          <cell r="A112">
            <v>73</v>
          </cell>
          <cell r="B112" t="str">
            <v>鉄筋</v>
          </cell>
          <cell r="C112" t="str">
            <v>Ｄ１9</v>
          </cell>
          <cell r="D112" t="str">
            <v>kg</v>
          </cell>
        </row>
        <row r="113">
          <cell r="A113">
            <v>74</v>
          </cell>
          <cell r="B113" t="str">
            <v>鉄筋加工組立</v>
          </cell>
          <cell r="C113" t="str">
            <v>15％加算</v>
          </cell>
          <cell r="D113" t="str">
            <v>ｔ</v>
          </cell>
        </row>
        <row r="114">
          <cell r="A114">
            <v>75</v>
          </cell>
          <cell r="B114" t="str">
            <v>Ｍ12ｾｯﾄｱﾝｶｰ</v>
          </cell>
          <cell r="C114" t="str">
            <v>　　</v>
          </cell>
          <cell r="D114" t="str">
            <v>本</v>
          </cell>
        </row>
        <row r="115">
          <cell r="A115">
            <v>76</v>
          </cell>
          <cell r="B115" t="str">
            <v>排水管</v>
          </cell>
          <cell r="C115" t="str">
            <v>ＶＵ100</v>
          </cell>
          <cell r="D115" t="str">
            <v>ｍ</v>
          </cell>
        </row>
        <row r="116">
          <cell r="A116">
            <v>77</v>
          </cell>
          <cell r="B116" t="str">
            <v>硬質塩化ﾋﾞﾆﾙﾊﾟｲﾌﾟ</v>
          </cell>
          <cell r="C116" t="str">
            <v>ＶＰ150</v>
          </cell>
          <cell r="D116" t="str">
            <v>ｍ</v>
          </cell>
        </row>
        <row r="117">
          <cell r="A117">
            <v>78</v>
          </cell>
          <cell r="B117" t="str">
            <v>松丸太杭</v>
          </cell>
          <cell r="C117" t="str">
            <v>末口15㎝　L=2.5</v>
          </cell>
          <cell r="D117" t="str">
            <v>本</v>
          </cell>
        </row>
        <row r="118">
          <cell r="A118">
            <v>79</v>
          </cell>
          <cell r="B118" t="str">
            <v>松丸太杭</v>
          </cell>
          <cell r="C118" t="str">
            <v>末口15㎝　L=1.5</v>
          </cell>
          <cell r="D118" t="str">
            <v>本</v>
          </cell>
        </row>
        <row r="119">
          <cell r="A119">
            <v>80</v>
          </cell>
          <cell r="B119" t="str">
            <v>洗出し皿溝ﾌﾞﾛｯｸ</v>
          </cell>
          <cell r="C119" t="str">
            <v>400×600×110</v>
          </cell>
          <cell r="D119" t="str">
            <v>ｍ</v>
          </cell>
          <cell r="E119">
            <v>8800</v>
          </cell>
        </row>
        <row r="120">
          <cell r="A120">
            <v>81</v>
          </cell>
          <cell r="B120" t="str">
            <v>洗い出し皿型　　　　　集水ﾌﾞﾛｯｸ蓋</v>
          </cell>
          <cell r="C120" t="str">
            <v>縁塊共　　　　　　　　　　　　　　　400×600×150t</v>
          </cell>
          <cell r="D120" t="str">
            <v>箇所</v>
          </cell>
          <cell r="E120">
            <v>9116</v>
          </cell>
        </row>
        <row r="121">
          <cell r="A121">
            <v>82</v>
          </cell>
          <cell r="B121" t="str">
            <v>㎡</v>
          </cell>
          <cell r="C121">
            <v>15400</v>
          </cell>
        </row>
        <row r="122">
          <cell r="A122">
            <v>83</v>
          </cell>
          <cell r="B122" t="str">
            <v>本体</v>
          </cell>
          <cell r="C122" t="str">
            <v>　</v>
          </cell>
          <cell r="D122" t="str">
            <v>ｍ</v>
          </cell>
        </row>
        <row r="123">
          <cell r="A123">
            <v>84</v>
          </cell>
          <cell r="B123" t="str">
            <v>本体</v>
          </cell>
          <cell r="C123" t="str">
            <v>　</v>
          </cell>
          <cell r="D123" t="str">
            <v>基</v>
          </cell>
        </row>
        <row r="124">
          <cell r="A124">
            <v>85</v>
          </cell>
          <cell r="B124" t="str">
            <v>本体</v>
          </cell>
          <cell r="C124" t="str">
            <v>　</v>
          </cell>
          <cell r="D124" t="str">
            <v>組</v>
          </cell>
          <cell r="E124">
            <v>500</v>
          </cell>
        </row>
        <row r="125">
          <cell r="A125">
            <v>86</v>
          </cell>
          <cell r="B125" t="str">
            <v>点字ブロック</v>
          </cell>
          <cell r="C125" t="str">
            <v>視覚障害者誘導用　　297×297×80</v>
          </cell>
          <cell r="D125" t="str">
            <v>枚</v>
          </cell>
          <cell r="E125">
            <v>633</v>
          </cell>
        </row>
        <row r="126">
          <cell r="A126">
            <v>87</v>
          </cell>
          <cell r="B126" t="str">
            <v>点字ブロック</v>
          </cell>
          <cell r="C126" t="str">
            <v>視覚障害者誘導用　　297×297×30</v>
          </cell>
          <cell r="D126" t="str">
            <v>枚</v>
          </cell>
          <cell r="E126">
            <v>460</v>
          </cell>
        </row>
        <row r="127">
          <cell r="A127">
            <v>88</v>
          </cell>
          <cell r="B127" t="str">
            <v>基礎ブロック</v>
          </cell>
          <cell r="C127" t="str">
            <v>　　</v>
          </cell>
          <cell r="D127" t="str">
            <v>個</v>
          </cell>
        </row>
        <row r="128">
          <cell r="A128">
            <v>89</v>
          </cell>
          <cell r="B128" t="str">
            <v>PCコンクリート</v>
          </cell>
          <cell r="C128" t="str">
            <v>　</v>
          </cell>
          <cell r="D128" t="str">
            <v>個</v>
          </cell>
        </row>
        <row r="129">
          <cell r="A129">
            <v>90</v>
          </cell>
          <cell r="B129" t="str">
            <v>階段ブロック</v>
          </cell>
          <cell r="C129" t="str">
            <v>擬石300×600×150</v>
          </cell>
          <cell r="D129" t="str">
            <v>個</v>
          </cell>
          <cell r="E129">
            <v>11200</v>
          </cell>
        </row>
        <row r="130">
          <cell r="A130">
            <v>91</v>
          </cell>
          <cell r="B130" t="str">
            <v>階段ブロック</v>
          </cell>
          <cell r="C130" t="str">
            <v>擬石300×300×150</v>
          </cell>
          <cell r="D130" t="str">
            <v>個</v>
          </cell>
          <cell r="E130">
            <v>6403</v>
          </cell>
        </row>
        <row r="131">
          <cell r="A131">
            <v>92</v>
          </cell>
          <cell r="B131" t="str">
            <v>自然石</v>
          </cell>
          <cell r="C131" t="str">
            <v>花崗岩サビ　　　　300×600×ｔ60</v>
          </cell>
          <cell r="D131" t="str">
            <v>ｍ2</v>
          </cell>
        </row>
        <row r="132">
          <cell r="A132">
            <v>93</v>
          </cell>
          <cell r="B132" t="str">
            <v>砂目地</v>
          </cell>
          <cell r="C132" t="str">
            <v>細目　　幅3㎜</v>
          </cell>
          <cell r="D132" t="str">
            <v>ｍ2</v>
          </cell>
        </row>
        <row r="133">
          <cell r="A133">
            <v>94</v>
          </cell>
          <cell r="B133" t="str">
            <v>ｺﾝｸﾘｰﾄ製車輪止め</v>
          </cell>
          <cell r="C133" t="str">
            <v>120/150×120×600</v>
          </cell>
          <cell r="D133" t="str">
            <v>基</v>
          </cell>
          <cell r="E133">
            <v>1170</v>
          </cell>
        </row>
        <row r="134">
          <cell r="A134">
            <v>95</v>
          </cell>
          <cell r="B134" t="str">
            <v>基礎ブロック</v>
          </cell>
          <cell r="C134" t="str">
            <v>200×200×450</v>
          </cell>
          <cell r="D134" t="str">
            <v>基</v>
          </cell>
        </row>
        <row r="135">
          <cell r="A135">
            <v>96</v>
          </cell>
          <cell r="B135" t="str">
            <v>手摺</v>
          </cell>
          <cell r="C135" t="str">
            <v>H＝800</v>
          </cell>
          <cell r="D135" t="str">
            <v>基</v>
          </cell>
          <cell r="E135">
            <v>567600</v>
          </cell>
        </row>
        <row r="136">
          <cell r="A136">
            <v>97</v>
          </cell>
          <cell r="B136" t="str">
            <v>御影石</v>
          </cell>
          <cell r="C136" t="str">
            <v>白　　        　　　　300×500×2000</v>
          </cell>
          <cell r="D136" t="str">
            <v>個</v>
          </cell>
        </row>
        <row r="137">
          <cell r="A137">
            <v>98</v>
          </cell>
          <cell r="B137" t="str">
            <v>松丸太杭</v>
          </cell>
          <cell r="C137" t="str">
            <v>末口15㎝　L=2.0</v>
          </cell>
          <cell r="D137" t="str">
            <v>本</v>
          </cell>
        </row>
        <row r="138">
          <cell r="A138">
            <v>99</v>
          </cell>
          <cell r="B138" t="str">
            <v>松丸太杭</v>
          </cell>
          <cell r="C138" t="str">
            <v>末口15㎝　L=3.0　</v>
          </cell>
          <cell r="D138" t="str">
            <v>本</v>
          </cell>
        </row>
        <row r="139">
          <cell r="A139">
            <v>100</v>
          </cell>
          <cell r="B139" t="str">
            <v>松丸太</v>
          </cell>
          <cell r="C139" t="str">
            <v>φ120　L=1.2</v>
          </cell>
          <cell r="D139" t="str">
            <v>本</v>
          </cell>
        </row>
        <row r="140">
          <cell r="A140">
            <v>101</v>
          </cell>
          <cell r="B140" t="str">
            <v>砂目地</v>
          </cell>
          <cell r="C140" t="str">
            <v>細目</v>
          </cell>
          <cell r="D140" t="str">
            <v>ｍ3</v>
          </cell>
        </row>
        <row r="141">
          <cell r="A141">
            <v>102</v>
          </cell>
          <cell r="B141" t="str">
            <v>目地ﾓﾙﾀﾙ</v>
          </cell>
          <cell r="C141" t="str">
            <v>1：2</v>
          </cell>
          <cell r="D141" t="str">
            <v>ｍ3</v>
          </cell>
        </row>
        <row r="142">
          <cell r="A142">
            <v>103</v>
          </cell>
          <cell r="B142" t="str">
            <v>張芝</v>
          </cell>
          <cell r="C142" t="str">
            <v>半土付　0㎝目地</v>
          </cell>
          <cell r="D142" t="str">
            <v>ｍ2</v>
          </cell>
        </row>
        <row r="143">
          <cell r="A143">
            <v>104</v>
          </cell>
          <cell r="B143" t="str">
            <v>砂</v>
          </cell>
          <cell r="C143" t="str">
            <v>埋管用　荒目</v>
          </cell>
          <cell r="D143" t="str">
            <v>ｍ3</v>
          </cell>
        </row>
        <row r="144">
          <cell r="A144">
            <v>105</v>
          </cell>
          <cell r="B144" t="str">
            <v>鉄筋</v>
          </cell>
          <cell r="C144" t="str">
            <v>SD345  Ｄ13</v>
          </cell>
          <cell r="D144" t="str">
            <v>kg</v>
          </cell>
        </row>
        <row r="145">
          <cell r="A145">
            <v>106</v>
          </cell>
          <cell r="B145" t="str">
            <v>鉄筋</v>
          </cell>
          <cell r="C145" t="str">
            <v>SD345  Ｄ25</v>
          </cell>
          <cell r="D145" t="str">
            <v>kg</v>
          </cell>
        </row>
        <row r="146">
          <cell r="A146">
            <v>107</v>
          </cell>
          <cell r="B146" t="str">
            <v>透水性           自然色ｱｽﾌｧﾙﾄ</v>
          </cell>
          <cell r="C146" t="str">
            <v>ｔ40</v>
          </cell>
          <cell r="D146" t="str">
            <v>ｍ2</v>
          </cell>
        </row>
        <row r="147">
          <cell r="A147">
            <v>108</v>
          </cell>
          <cell r="B147" t="str">
            <v>特殊ｲﾝﾀｰﾛｯｷﾝｸﾞ</v>
          </cell>
          <cell r="C147" t="str">
            <v>298×298×60</v>
          </cell>
          <cell r="D147" t="str">
            <v>ｍ2</v>
          </cell>
        </row>
        <row r="148">
          <cell r="A148">
            <v>109</v>
          </cell>
          <cell r="B148" t="str">
            <v>特殊ｲﾝﾀｰﾛｯｷﾝｸﾞ</v>
          </cell>
          <cell r="C148" t="str">
            <v>298×298×80</v>
          </cell>
          <cell r="D148" t="str">
            <v>ｍ2</v>
          </cell>
        </row>
        <row r="149">
          <cell r="A149">
            <v>110</v>
          </cell>
          <cell r="B149" t="str">
            <v>洗い出し縁石　　　(金華8～12mm）</v>
          </cell>
          <cell r="C149" t="str">
            <v>120×120×600</v>
          </cell>
          <cell r="D149" t="str">
            <v>ｍ</v>
          </cell>
        </row>
        <row r="150">
          <cell r="A150">
            <v>111</v>
          </cell>
          <cell r="B150" t="str">
            <v>地先境界ブロック</v>
          </cell>
          <cell r="C150" t="str">
            <v>150×150×600</v>
          </cell>
          <cell r="D150" t="str">
            <v>ｍ</v>
          </cell>
        </row>
        <row r="151">
          <cell r="A151">
            <v>112</v>
          </cell>
          <cell r="B151" t="str">
            <v>丸太階段</v>
          </cell>
          <cell r="C151" t="str">
            <v>　</v>
          </cell>
          <cell r="D151" t="str">
            <v>段</v>
          </cell>
        </row>
        <row r="152">
          <cell r="A152">
            <v>113</v>
          </cell>
          <cell r="B152" t="str">
            <v>透水性真砂土舗装</v>
          </cell>
          <cell r="C152" t="str">
            <v>土壌固化材使用</v>
          </cell>
          <cell r="D152" t="str">
            <v>ｍ2</v>
          </cell>
        </row>
        <row r="153">
          <cell r="A153">
            <v>114</v>
          </cell>
          <cell r="B153" t="str">
            <v>埋戻土</v>
          </cell>
          <cell r="C153" t="str">
            <v>現場土</v>
          </cell>
          <cell r="D153" t="str">
            <v>ｍ3</v>
          </cell>
        </row>
        <row r="154">
          <cell r="A154">
            <v>115</v>
          </cell>
          <cell r="B154" t="str">
            <v>空石積</v>
          </cell>
          <cell r="C154" t="str">
            <v>自然石φ300～500内外</v>
          </cell>
          <cell r="D154" t="str">
            <v>ｍ2</v>
          </cell>
        </row>
        <row r="155">
          <cell r="A155">
            <v>116</v>
          </cell>
          <cell r="B155" t="str">
            <v>自然石(ｸﾞﾚｰ系)</v>
          </cell>
          <cell r="C155" t="str">
            <v>野面1000×1000×1000内外</v>
          </cell>
          <cell r="D155" t="str">
            <v>個</v>
          </cell>
        </row>
        <row r="157">
          <cell r="A157">
            <v>118</v>
          </cell>
          <cell r="B157" t="str">
            <v>給水管</v>
          </cell>
          <cell r="C157" t="str">
            <v>ﾎﾟﾘｴﾁﾚﾝﾊﾟｲﾌﾟ　20A、25A</v>
          </cell>
          <cell r="D157" t="str">
            <v>ｍ</v>
          </cell>
        </row>
        <row r="158">
          <cell r="A158">
            <v>119</v>
          </cell>
          <cell r="B158" t="str">
            <v>止水栓ボックス蓋</v>
          </cell>
          <cell r="C158" t="str">
            <v>鋳鉄製</v>
          </cell>
          <cell r="D158" t="str">
            <v>基</v>
          </cell>
        </row>
        <row r="159">
          <cell r="A159">
            <v>120</v>
          </cell>
          <cell r="B159" t="str">
            <v>止水栓</v>
          </cell>
          <cell r="C159" t="str">
            <v>１０Ｋ</v>
          </cell>
          <cell r="D159" t="str">
            <v>基</v>
          </cell>
        </row>
        <row r="160">
          <cell r="A160">
            <v>121</v>
          </cell>
          <cell r="B160" t="str">
            <v>散水栓ボックス</v>
          </cell>
          <cell r="C160" t="str">
            <v>鋳鉄製</v>
          </cell>
          <cell r="D160" t="str">
            <v>基</v>
          </cell>
        </row>
        <row r="161">
          <cell r="A161">
            <v>122</v>
          </cell>
          <cell r="B161" t="str">
            <v>散水栓ボックス</v>
          </cell>
        </row>
        <row r="162">
          <cell r="A162">
            <v>123</v>
          </cell>
          <cell r="B162" t="str">
            <v>空洞ブロック</v>
          </cell>
          <cell r="C162" t="str">
            <v>120*190*390　Ｃ種</v>
          </cell>
          <cell r="D162" t="str">
            <v>㎡</v>
          </cell>
        </row>
        <row r="163">
          <cell r="A163">
            <v>124</v>
          </cell>
        </row>
        <row r="164">
          <cell r="A164">
            <v>125</v>
          </cell>
          <cell r="B164" t="str">
            <v>細目ｸﾞﾚｰﾁﾝﾌﾞ蓋</v>
          </cell>
          <cell r="C164" t="str">
            <v>T-2</v>
          </cell>
          <cell r="D164" t="str">
            <v>基</v>
          </cell>
        </row>
        <row r="165">
          <cell r="A165">
            <v>126</v>
          </cell>
          <cell r="B165" t="str">
            <v>細目ｸﾞﾚｰﾁﾝﾌﾞ蓋</v>
          </cell>
          <cell r="C165" t="str">
            <v>T-14</v>
          </cell>
          <cell r="D165" t="str">
            <v>基</v>
          </cell>
        </row>
        <row r="166">
          <cell r="A166">
            <v>127</v>
          </cell>
        </row>
        <row r="167">
          <cell r="A167">
            <v>128</v>
          </cell>
        </row>
        <row r="168">
          <cell r="A168">
            <v>129</v>
          </cell>
          <cell r="B168" t="str">
            <v>ｺﾝｸﾘｰﾄ基礎ﾌﾞﾛｯｸ</v>
          </cell>
          <cell r="C168" t="str">
            <v>300×300×700</v>
          </cell>
          <cell r="D168" t="str">
            <v>個</v>
          </cell>
          <cell r="E168">
            <v>1911000</v>
          </cell>
        </row>
        <row r="169">
          <cell r="A169">
            <v>130</v>
          </cell>
          <cell r="B169" t="str">
            <v>単粒度砕石</v>
          </cell>
          <cell r="C169" t="str">
            <v>５号</v>
          </cell>
          <cell r="D169" t="str">
            <v>ｍ3</v>
          </cell>
          <cell r="E169">
            <v>34193485</v>
          </cell>
        </row>
        <row r="170">
          <cell r="A170">
            <v>131</v>
          </cell>
          <cell r="B170" t="str">
            <v>透水管</v>
          </cell>
          <cell r="C170" t="str">
            <v>φ100波状管</v>
          </cell>
          <cell r="D170" t="str">
            <v>ｍ</v>
          </cell>
          <cell r="E170">
            <v>26515297</v>
          </cell>
        </row>
        <row r="171">
          <cell r="A171">
            <v>132</v>
          </cell>
          <cell r="B171" t="str">
            <v>皿側側溝</v>
          </cell>
          <cell r="C171">
            <v>240</v>
          </cell>
          <cell r="D171" t="str">
            <v>ｍ</v>
          </cell>
          <cell r="E171">
            <v>23502044</v>
          </cell>
        </row>
        <row r="172">
          <cell r="A172">
            <v>133</v>
          </cell>
          <cell r="B172" t="str">
            <v>硬質塩化ﾋﾞﾆﾙ管</v>
          </cell>
          <cell r="C172" t="str">
            <v>Vuφ150</v>
          </cell>
          <cell r="D172" t="str">
            <v>ｍ</v>
          </cell>
          <cell r="E172">
            <v>20713828</v>
          </cell>
        </row>
        <row r="173">
          <cell r="A173">
            <v>134</v>
          </cell>
          <cell r="B173" t="str">
            <v>電線管</v>
          </cell>
          <cell r="C173" t="str">
            <v>FEP30</v>
          </cell>
          <cell r="D173" t="str">
            <v>ｍ</v>
          </cell>
          <cell r="E173">
            <v>6357195</v>
          </cell>
        </row>
        <row r="174">
          <cell r="A174">
            <v>135</v>
          </cell>
          <cell r="B174" t="str">
            <v>式</v>
          </cell>
        </row>
        <row r="175">
          <cell r="A175">
            <v>136</v>
          </cell>
          <cell r="B175" t="str">
            <v>面</v>
          </cell>
        </row>
        <row r="176">
          <cell r="A176">
            <v>137</v>
          </cell>
          <cell r="B176" t="str">
            <v>基</v>
          </cell>
        </row>
        <row r="177">
          <cell r="A177">
            <v>138</v>
          </cell>
          <cell r="B177" t="str">
            <v>基</v>
          </cell>
        </row>
        <row r="178">
          <cell r="A178">
            <v>139</v>
          </cell>
          <cell r="B178" t="str">
            <v>枚</v>
          </cell>
          <cell r="C178">
            <v>50633</v>
          </cell>
        </row>
        <row r="179">
          <cell r="A179">
            <v>140</v>
          </cell>
          <cell r="B179" t="str">
            <v>㎡</v>
          </cell>
          <cell r="C179">
            <v>33266</v>
          </cell>
        </row>
        <row r="180">
          <cell r="A180">
            <v>141</v>
          </cell>
          <cell r="B180" t="str">
            <v>個</v>
          </cell>
          <cell r="C180">
            <v>65733</v>
          </cell>
        </row>
        <row r="181">
          <cell r="A181">
            <v>142</v>
          </cell>
          <cell r="B181" t="str">
            <v>個</v>
          </cell>
          <cell r="C181">
            <v>104900</v>
          </cell>
        </row>
        <row r="182">
          <cell r="A182">
            <v>143</v>
          </cell>
          <cell r="B182" t="str">
            <v>個</v>
          </cell>
          <cell r="C182">
            <v>24533</v>
          </cell>
        </row>
        <row r="183">
          <cell r="A183">
            <v>144</v>
          </cell>
          <cell r="B183" t="str">
            <v>個</v>
          </cell>
          <cell r="C183">
            <v>35500</v>
          </cell>
        </row>
        <row r="184">
          <cell r="A184">
            <v>145</v>
          </cell>
          <cell r="B184" t="str">
            <v>個</v>
          </cell>
          <cell r="C184">
            <v>19500</v>
          </cell>
        </row>
        <row r="185">
          <cell r="A185">
            <v>146</v>
          </cell>
          <cell r="B185" t="str">
            <v>笠石（サンクン上）</v>
          </cell>
          <cell r="C185" t="str">
            <v>外国産花崗岩（ｸﾞﾚｰ）バーナーW400×L150×40/120</v>
          </cell>
          <cell r="D185" t="str">
            <v>ｍ</v>
          </cell>
          <cell r="E185">
            <v>13500</v>
          </cell>
        </row>
        <row r="186">
          <cell r="A186">
            <v>147</v>
          </cell>
          <cell r="B186" t="str">
            <v>土留めウォール笠石</v>
          </cell>
          <cell r="C186" t="str">
            <v>外国産花崗岩（錆）２面割肌W300×L600×ｔ100</v>
          </cell>
          <cell r="D186" t="str">
            <v>ｍ</v>
          </cell>
          <cell r="E186">
            <v>8283</v>
          </cell>
        </row>
        <row r="187">
          <cell r="A187">
            <v>148</v>
          </cell>
          <cell r="B187" t="str">
            <v>土留めウォール側面</v>
          </cell>
          <cell r="C187" t="str">
            <v>外国産花崗岩（錆）ｔ＝60整形乱貼１面割れ肌</v>
          </cell>
          <cell r="D187" t="str">
            <v>㎡</v>
          </cell>
          <cell r="E187">
            <v>24900</v>
          </cell>
        </row>
        <row r="188">
          <cell r="A188">
            <v>149</v>
          </cell>
          <cell r="B188" t="str">
            <v>白川砂利</v>
          </cell>
          <cell r="C188" t="str">
            <v>５分砂利　花崗岩砂利φ15内外</v>
          </cell>
          <cell r="D188" t="str">
            <v>ｍ3</v>
          </cell>
          <cell r="E188">
            <v>96666</v>
          </cell>
        </row>
        <row r="189">
          <cell r="A189">
            <v>150</v>
          </cell>
          <cell r="B189" t="str">
            <v>シェルター照明</v>
          </cell>
          <cell r="C189" t="str">
            <v>照明灯、ランプ、安定期</v>
          </cell>
          <cell r="D189" t="str">
            <v>組</v>
          </cell>
          <cell r="E189">
            <v>300000</v>
          </cell>
        </row>
        <row r="190">
          <cell r="A190">
            <v>151</v>
          </cell>
          <cell r="B190" t="str">
            <v>照明灯Ａ</v>
          </cell>
          <cell r="C190" t="str">
            <v>本体</v>
          </cell>
          <cell r="D190" t="str">
            <v>基</v>
          </cell>
        </row>
        <row r="191">
          <cell r="A191">
            <v>152</v>
          </cell>
          <cell r="B191" t="str">
            <v>照明灯Ａ-１</v>
          </cell>
          <cell r="C191" t="str">
            <v>本体</v>
          </cell>
          <cell r="D191" t="str">
            <v>基</v>
          </cell>
        </row>
        <row r="192">
          <cell r="A192">
            <v>153</v>
          </cell>
          <cell r="B192" t="str">
            <v>照明灯Ｂ</v>
          </cell>
          <cell r="C192" t="str">
            <v>本体</v>
          </cell>
          <cell r="D192" t="str">
            <v>基</v>
          </cell>
        </row>
        <row r="193">
          <cell r="A193">
            <v>154</v>
          </cell>
          <cell r="B193" t="str">
            <v>照明灯Ｂ-１</v>
          </cell>
          <cell r="C193" t="str">
            <v>本体</v>
          </cell>
          <cell r="D193" t="str">
            <v>基</v>
          </cell>
        </row>
        <row r="194">
          <cell r="A194">
            <v>155</v>
          </cell>
          <cell r="B194" t="str">
            <v>照明灯Ｂ-２</v>
          </cell>
          <cell r="C194" t="str">
            <v>本体</v>
          </cell>
          <cell r="D194" t="str">
            <v>基</v>
          </cell>
        </row>
        <row r="195">
          <cell r="A195">
            <v>156</v>
          </cell>
          <cell r="B195" t="str">
            <v>照明灯Ｂ-３</v>
          </cell>
          <cell r="C195" t="str">
            <v>本体</v>
          </cell>
          <cell r="D195" t="str">
            <v>基</v>
          </cell>
        </row>
        <row r="196">
          <cell r="A196">
            <v>157</v>
          </cell>
          <cell r="B196" t="str">
            <v>照明灯Ｃ</v>
          </cell>
          <cell r="C196" t="str">
            <v>本体</v>
          </cell>
          <cell r="D196" t="str">
            <v>基</v>
          </cell>
        </row>
        <row r="197">
          <cell r="A197">
            <v>158</v>
          </cell>
          <cell r="B197" t="str">
            <v>照明灯Ｄ</v>
          </cell>
          <cell r="C197" t="str">
            <v>本体</v>
          </cell>
          <cell r="D197" t="str">
            <v>基</v>
          </cell>
        </row>
        <row r="198">
          <cell r="A198">
            <v>159</v>
          </cell>
          <cell r="B198" t="str">
            <v>照明灯Ｄ-１</v>
          </cell>
          <cell r="C198" t="str">
            <v>本体</v>
          </cell>
          <cell r="D198" t="str">
            <v>基</v>
          </cell>
        </row>
        <row r="199">
          <cell r="A199">
            <v>160</v>
          </cell>
          <cell r="B199" t="str">
            <v>照明灯E</v>
          </cell>
          <cell r="C199" t="str">
            <v>ﾌｯﾄﾗｲﾄ本体</v>
          </cell>
          <cell r="D199" t="str">
            <v>基</v>
          </cell>
        </row>
        <row r="200">
          <cell r="A200">
            <v>161</v>
          </cell>
          <cell r="B200" t="str">
            <v>照明灯F</v>
          </cell>
          <cell r="C200" t="str">
            <v>本体</v>
          </cell>
          <cell r="D200" t="str">
            <v>基</v>
          </cell>
        </row>
        <row r="201">
          <cell r="A201">
            <v>162</v>
          </cell>
          <cell r="B201" t="str">
            <v>照明灯G</v>
          </cell>
          <cell r="C201" t="str">
            <v>本体</v>
          </cell>
          <cell r="D201" t="str">
            <v>基</v>
          </cell>
        </row>
        <row r="202">
          <cell r="A202">
            <v>163</v>
          </cell>
          <cell r="B202" t="str">
            <v>照明灯H</v>
          </cell>
          <cell r="C202" t="str">
            <v>本体</v>
          </cell>
          <cell r="D202" t="str">
            <v>基</v>
          </cell>
        </row>
        <row r="203">
          <cell r="A203">
            <v>164</v>
          </cell>
          <cell r="B203" t="str">
            <v>照明灯Ｉ</v>
          </cell>
          <cell r="C203" t="str">
            <v>本体</v>
          </cell>
          <cell r="D203" t="str">
            <v>基</v>
          </cell>
        </row>
        <row r="204">
          <cell r="A204">
            <v>165</v>
          </cell>
          <cell r="B204" t="str">
            <v>信号Ｊ</v>
          </cell>
          <cell r="C204" t="str">
            <v>本体</v>
          </cell>
          <cell r="D204" t="str">
            <v>基</v>
          </cell>
        </row>
        <row r="205">
          <cell r="A205">
            <v>166</v>
          </cell>
          <cell r="B205" t="str">
            <v>照明灯Ｋ</v>
          </cell>
          <cell r="C205" t="str">
            <v>本体</v>
          </cell>
          <cell r="D205" t="str">
            <v>基</v>
          </cell>
        </row>
        <row r="206">
          <cell r="A206">
            <v>167</v>
          </cell>
          <cell r="B206" t="str">
            <v>自動料金清算機</v>
          </cell>
          <cell r="C206" t="str">
            <v>本体</v>
          </cell>
          <cell r="D206" t="str">
            <v>基</v>
          </cell>
        </row>
        <row r="207">
          <cell r="A207">
            <v>168</v>
          </cell>
          <cell r="B207" t="str">
            <v>インターフェイス盤</v>
          </cell>
          <cell r="C207" t="str">
            <v>　</v>
          </cell>
          <cell r="D207" t="str">
            <v>基</v>
          </cell>
        </row>
        <row r="208">
          <cell r="A208">
            <v>169</v>
          </cell>
          <cell r="B208" t="str">
            <v>案内説明パネル</v>
          </cell>
          <cell r="C208" t="str">
            <v>　</v>
          </cell>
          <cell r="D208" t="str">
            <v>基</v>
          </cell>
        </row>
        <row r="209">
          <cell r="A209">
            <v>170</v>
          </cell>
          <cell r="B209" t="str">
            <v>保護屋根</v>
          </cell>
          <cell r="C209" t="str">
            <v>　</v>
          </cell>
          <cell r="D209" t="str">
            <v>基</v>
          </cell>
        </row>
        <row r="210">
          <cell r="A210">
            <v>171</v>
          </cell>
          <cell r="B210" t="str">
            <v>駐車位置番号表示ポール</v>
          </cell>
          <cell r="C210" t="str">
            <v>　</v>
          </cell>
          <cell r="D210" t="str">
            <v>基</v>
          </cell>
        </row>
        <row r="211">
          <cell r="A211">
            <v>172</v>
          </cell>
          <cell r="B211" t="str">
            <v>保護柵</v>
          </cell>
          <cell r="C211" t="str">
            <v>　</v>
          </cell>
          <cell r="D211" t="str">
            <v>基</v>
          </cell>
        </row>
        <row r="212">
          <cell r="A212">
            <v>173</v>
          </cell>
          <cell r="B212" t="str">
            <v>フラップ盤</v>
          </cell>
          <cell r="C212" t="str">
            <v>本体</v>
          </cell>
          <cell r="D212" t="str">
            <v>基</v>
          </cell>
        </row>
        <row r="213">
          <cell r="A213">
            <v>174</v>
          </cell>
          <cell r="B213" t="str">
            <v>センサー</v>
          </cell>
          <cell r="C213" t="str">
            <v>本体</v>
          </cell>
          <cell r="D213" t="str">
            <v>基</v>
          </cell>
        </row>
        <row r="214">
          <cell r="A214">
            <v>175</v>
          </cell>
          <cell r="B214" t="str">
            <v>PF管</v>
          </cell>
          <cell r="C214" t="str">
            <v>φ22</v>
          </cell>
          <cell r="D214" t="str">
            <v>ｍ</v>
          </cell>
        </row>
        <row r="215">
          <cell r="A215">
            <v>176</v>
          </cell>
          <cell r="B215" t="str">
            <v>ハンドホール</v>
          </cell>
          <cell r="C215" t="str">
            <v>鉄蓋含む</v>
          </cell>
          <cell r="D215" t="str">
            <v>組</v>
          </cell>
        </row>
        <row r="216">
          <cell r="A216">
            <v>177</v>
          </cell>
          <cell r="B216" t="str">
            <v>ハンドホール</v>
          </cell>
          <cell r="C216" t="str">
            <v>　</v>
          </cell>
          <cell r="D216" t="str">
            <v>組</v>
          </cell>
        </row>
        <row r="217">
          <cell r="A217">
            <v>178</v>
          </cell>
          <cell r="B217" t="str">
            <v>化粧蓋</v>
          </cell>
          <cell r="C217" t="str">
            <v>ＩＬＢ用 □600 SUS目地</v>
          </cell>
          <cell r="D217" t="str">
            <v>枚</v>
          </cell>
        </row>
        <row r="218">
          <cell r="A218">
            <v>179</v>
          </cell>
          <cell r="B218" t="str">
            <v>電池式散水制御盤</v>
          </cell>
          <cell r="C218" t="str">
            <v>雨センサー、潅水コンピューター付</v>
          </cell>
          <cell r="D218" t="str">
            <v>基</v>
          </cell>
        </row>
        <row r="219">
          <cell r="A219">
            <v>180</v>
          </cell>
          <cell r="B219" t="str">
            <v>電磁弁</v>
          </cell>
          <cell r="C219" t="str">
            <v>20A（継手共）</v>
          </cell>
          <cell r="D219" t="str">
            <v>基</v>
          </cell>
        </row>
        <row r="220">
          <cell r="A220">
            <v>181</v>
          </cell>
          <cell r="B220" t="str">
            <v>電磁弁BOX</v>
          </cell>
          <cell r="C220" t="str">
            <v>20（ABS製）</v>
          </cell>
          <cell r="D220" t="str">
            <v>基</v>
          </cell>
        </row>
        <row r="221">
          <cell r="A221">
            <v>182</v>
          </cell>
          <cell r="B221" t="str">
            <v>電磁弁</v>
          </cell>
          <cell r="C221" t="str">
            <v>25A（継手共）</v>
          </cell>
          <cell r="D221" t="str">
            <v>基</v>
          </cell>
        </row>
        <row r="222">
          <cell r="A222">
            <v>183</v>
          </cell>
          <cell r="B222" t="str">
            <v>電磁弁BOX</v>
          </cell>
          <cell r="C222" t="str">
            <v>25（ABS製）</v>
          </cell>
          <cell r="D222" t="str">
            <v>基</v>
          </cell>
        </row>
        <row r="223">
          <cell r="A223">
            <v>184</v>
          </cell>
          <cell r="B223" t="str">
            <v>量水基20A</v>
          </cell>
          <cell r="C223" t="str">
            <v>　　</v>
          </cell>
          <cell r="D223" t="str">
            <v>基</v>
          </cell>
        </row>
        <row r="224">
          <cell r="A224">
            <v>185</v>
          </cell>
          <cell r="B224" t="str">
            <v>量水基BOX20</v>
          </cell>
          <cell r="C224" t="str">
            <v>　</v>
          </cell>
          <cell r="D224" t="str">
            <v>基</v>
          </cell>
        </row>
        <row r="225">
          <cell r="A225">
            <v>186</v>
          </cell>
          <cell r="B225" t="str">
            <v>量水基25A</v>
          </cell>
          <cell r="C225" t="str">
            <v>　</v>
          </cell>
          <cell r="D225" t="str">
            <v>基</v>
          </cell>
        </row>
        <row r="226">
          <cell r="A226">
            <v>187</v>
          </cell>
          <cell r="B226" t="str">
            <v>量水基BOX25</v>
          </cell>
          <cell r="C226" t="str">
            <v>　</v>
          </cell>
          <cell r="D226" t="str">
            <v>基</v>
          </cell>
        </row>
        <row r="227">
          <cell r="A227">
            <v>188</v>
          </cell>
          <cell r="B227" t="str">
            <v>仕切弁25A</v>
          </cell>
          <cell r="C227" t="str">
            <v>　</v>
          </cell>
          <cell r="D227" t="str">
            <v>基</v>
          </cell>
        </row>
        <row r="228">
          <cell r="A228">
            <v>189</v>
          </cell>
          <cell r="B228" t="str">
            <v>仕切弁25ABOX</v>
          </cell>
          <cell r="C228" t="str">
            <v>サヤ管VU150共</v>
          </cell>
          <cell r="D228" t="str">
            <v>基</v>
          </cell>
        </row>
        <row r="229">
          <cell r="A229">
            <v>190</v>
          </cell>
          <cell r="B229" t="str">
            <v>吸出防止シート</v>
          </cell>
          <cell r="C229" t="str">
            <v> </v>
          </cell>
          <cell r="D229" t="str">
            <v>㎡</v>
          </cell>
        </row>
        <row r="230">
          <cell r="A230">
            <v>191</v>
          </cell>
          <cell r="B230" t="str">
            <v>防水シール</v>
          </cell>
          <cell r="C230" t="str">
            <v> </v>
          </cell>
          <cell r="D230" t="str">
            <v>ｍ</v>
          </cell>
        </row>
        <row r="231">
          <cell r="A231">
            <v>192</v>
          </cell>
          <cell r="B231" t="str">
            <v>埋設表示シート</v>
          </cell>
          <cell r="C231" t="str">
            <v>W=150</v>
          </cell>
          <cell r="D231" t="str">
            <v>ｍ</v>
          </cell>
        </row>
        <row r="232">
          <cell r="A232">
            <v>193</v>
          </cell>
          <cell r="B232" t="str">
            <v>分電盤</v>
          </cell>
          <cell r="C232" t="str">
            <v>面</v>
          </cell>
        </row>
        <row r="233">
          <cell r="A233">
            <v>194</v>
          </cell>
          <cell r="B233" t="str">
            <v>植生ロ－ル</v>
          </cell>
          <cell r="C233" t="str">
            <v> </v>
          </cell>
          <cell r="D233" t="str">
            <v>ｍ</v>
          </cell>
        </row>
        <row r="234">
          <cell r="A234">
            <v>195</v>
          </cell>
          <cell r="B234" t="str">
            <v>しゅろ縄</v>
          </cell>
          <cell r="C234" t="str">
            <v>φ3</v>
          </cell>
          <cell r="D234" t="str">
            <v>ｍ</v>
          </cell>
        </row>
        <row r="235">
          <cell r="A235">
            <v>196</v>
          </cell>
          <cell r="B235" t="str">
            <v>自然石</v>
          </cell>
          <cell r="C235" t="str">
            <v>φ1500</v>
          </cell>
          <cell r="D235" t="str">
            <v>㎡</v>
          </cell>
        </row>
        <row r="236">
          <cell r="A236">
            <v>197</v>
          </cell>
          <cell r="B236" t="str">
            <v>カゴマット</v>
          </cell>
          <cell r="C236" t="str">
            <v>H=500</v>
          </cell>
          <cell r="D236" t="str">
            <v>㎡</v>
          </cell>
        </row>
        <row r="237">
          <cell r="A237">
            <v>198</v>
          </cell>
          <cell r="B237" t="str">
            <v>松杭</v>
          </cell>
          <cell r="C237" t="str">
            <v>L=3.0</v>
          </cell>
          <cell r="D237" t="str">
            <v>本　</v>
          </cell>
        </row>
        <row r="238">
          <cell r="A238">
            <v>199</v>
          </cell>
          <cell r="B238" t="str">
            <v>松丸太杭</v>
          </cell>
          <cell r="C238" t="str">
            <v>末口15㎝　L=1.0</v>
          </cell>
          <cell r="D238" t="str">
            <v>本</v>
          </cell>
        </row>
        <row r="239">
          <cell r="A239">
            <v>200</v>
          </cell>
          <cell r="B239" t="str">
            <v>　</v>
          </cell>
          <cell r="C239" t="str">
            <v>　</v>
          </cell>
          <cell r="D239" t="str">
            <v>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comments" Target="../comments100.xml" /><Relationship Id="rId2" Type="http://schemas.openxmlformats.org/officeDocument/2006/relationships/vmlDrawing" Target="../drawings/vmlDrawing100.vml" /><Relationship Id="rId3" Type="http://schemas.openxmlformats.org/officeDocument/2006/relationships/drawing" Target="../drawings/drawing100.xml" /><Relationship Id="rId4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comments" Target="../comments101.xml" /><Relationship Id="rId2" Type="http://schemas.openxmlformats.org/officeDocument/2006/relationships/vmlDrawing" Target="../drawings/vmlDrawing101.vml" /><Relationship Id="rId3" Type="http://schemas.openxmlformats.org/officeDocument/2006/relationships/drawing" Target="../drawings/drawing101.xml" /><Relationship Id="rId4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comments" Target="../comments102.xml" /><Relationship Id="rId2" Type="http://schemas.openxmlformats.org/officeDocument/2006/relationships/vmlDrawing" Target="../drawings/vmlDrawing102.vml" /><Relationship Id="rId3" Type="http://schemas.openxmlformats.org/officeDocument/2006/relationships/drawing" Target="../drawings/drawing102.xml" /><Relationship Id="rId4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comments" Target="../comments103.xml" /><Relationship Id="rId2" Type="http://schemas.openxmlformats.org/officeDocument/2006/relationships/vmlDrawing" Target="../drawings/vmlDrawing103.vml" /><Relationship Id="rId3" Type="http://schemas.openxmlformats.org/officeDocument/2006/relationships/drawing" Target="../drawings/drawing103.xml" /><Relationship Id="rId4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comments" Target="../comments104.xml" /><Relationship Id="rId2" Type="http://schemas.openxmlformats.org/officeDocument/2006/relationships/vmlDrawing" Target="../drawings/vmlDrawing104.vml" /><Relationship Id="rId3" Type="http://schemas.openxmlformats.org/officeDocument/2006/relationships/drawing" Target="../drawings/drawing104.xml" /><Relationship Id="rId4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comments" Target="../comments105.xml" /><Relationship Id="rId2" Type="http://schemas.openxmlformats.org/officeDocument/2006/relationships/vmlDrawing" Target="../drawings/vmlDrawing105.vml" /><Relationship Id="rId3" Type="http://schemas.openxmlformats.org/officeDocument/2006/relationships/drawing" Target="../drawings/drawing105.xml" /><Relationship Id="rId4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comments" Target="../comments106.xml" /><Relationship Id="rId2" Type="http://schemas.openxmlformats.org/officeDocument/2006/relationships/vmlDrawing" Target="../drawings/vmlDrawing106.vml" /><Relationship Id="rId3" Type="http://schemas.openxmlformats.org/officeDocument/2006/relationships/drawing" Target="../drawings/drawing106.xml" /><Relationship Id="rId4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comments" Target="../comments107.xml" /><Relationship Id="rId2" Type="http://schemas.openxmlformats.org/officeDocument/2006/relationships/vmlDrawing" Target="../drawings/vmlDrawing107.vml" /><Relationship Id="rId3" Type="http://schemas.openxmlformats.org/officeDocument/2006/relationships/drawing" Target="../drawings/drawing107.xml" /><Relationship Id="rId4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comments" Target="../comments108.xml" /><Relationship Id="rId2" Type="http://schemas.openxmlformats.org/officeDocument/2006/relationships/vmlDrawing" Target="../drawings/vmlDrawing108.vml" /><Relationship Id="rId3" Type="http://schemas.openxmlformats.org/officeDocument/2006/relationships/drawing" Target="../drawings/drawing108.xml" /><Relationship Id="rId4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comments" Target="../comments109.xml" /><Relationship Id="rId2" Type="http://schemas.openxmlformats.org/officeDocument/2006/relationships/vmlDrawing" Target="../drawings/vmlDrawing109.vml" /><Relationship Id="rId3" Type="http://schemas.openxmlformats.org/officeDocument/2006/relationships/drawing" Target="../drawings/drawing109.xml" /><Relationship Id="rId4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comments" Target="../comments110.xml" /><Relationship Id="rId2" Type="http://schemas.openxmlformats.org/officeDocument/2006/relationships/vmlDrawing" Target="../drawings/vmlDrawing110.vml" /><Relationship Id="rId3" Type="http://schemas.openxmlformats.org/officeDocument/2006/relationships/drawing" Target="../drawings/drawing110.xml" /><Relationship Id="rId4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1.xml" /><Relationship Id="rId2" Type="http://schemas.openxmlformats.org/officeDocument/2006/relationships/vmlDrawing" Target="../drawings/vmlDrawing111.vml" /><Relationship Id="rId3" Type="http://schemas.openxmlformats.org/officeDocument/2006/relationships/drawing" Target="../drawings/drawing111.xml" /><Relationship Id="rId4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comments" Target="../comments112.xml" /><Relationship Id="rId2" Type="http://schemas.openxmlformats.org/officeDocument/2006/relationships/vmlDrawing" Target="../drawings/vmlDrawing112.vml" /><Relationship Id="rId3" Type="http://schemas.openxmlformats.org/officeDocument/2006/relationships/drawing" Target="../drawings/drawing112.xml" /><Relationship Id="rId4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comments" Target="../comments113.xml" /><Relationship Id="rId2" Type="http://schemas.openxmlformats.org/officeDocument/2006/relationships/vmlDrawing" Target="../drawings/vmlDrawing113.vml" /><Relationship Id="rId3" Type="http://schemas.openxmlformats.org/officeDocument/2006/relationships/drawing" Target="../drawings/drawing113.xml" /><Relationship Id="rId4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comments" Target="../comments114.xml" /><Relationship Id="rId2" Type="http://schemas.openxmlformats.org/officeDocument/2006/relationships/vmlDrawing" Target="../drawings/vmlDrawing114.vml" /><Relationship Id="rId3" Type="http://schemas.openxmlformats.org/officeDocument/2006/relationships/drawing" Target="../drawings/drawing114.xml" /><Relationship Id="rId4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comments" Target="../comments115.xml" /><Relationship Id="rId2" Type="http://schemas.openxmlformats.org/officeDocument/2006/relationships/vmlDrawing" Target="../drawings/vmlDrawing115.vml" /><Relationship Id="rId3" Type="http://schemas.openxmlformats.org/officeDocument/2006/relationships/drawing" Target="../drawings/drawing115.xml" /><Relationship Id="rId4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comments" Target="../comments116.xml" /><Relationship Id="rId2" Type="http://schemas.openxmlformats.org/officeDocument/2006/relationships/vmlDrawing" Target="../drawings/vmlDrawing116.vml" /><Relationship Id="rId3" Type="http://schemas.openxmlformats.org/officeDocument/2006/relationships/drawing" Target="../drawings/drawing116.xml" /><Relationship Id="rId4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comments" Target="../comments117.xml" /><Relationship Id="rId2" Type="http://schemas.openxmlformats.org/officeDocument/2006/relationships/vmlDrawing" Target="../drawings/vmlDrawing117.vml" /><Relationship Id="rId3" Type="http://schemas.openxmlformats.org/officeDocument/2006/relationships/drawing" Target="../drawings/drawing117.xml" /><Relationship Id="rId4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comments" Target="../comments118.xml" /><Relationship Id="rId2" Type="http://schemas.openxmlformats.org/officeDocument/2006/relationships/vmlDrawing" Target="../drawings/vmlDrawing118.vml" /><Relationship Id="rId3" Type="http://schemas.openxmlformats.org/officeDocument/2006/relationships/drawing" Target="../drawings/drawing118.xml" /><Relationship Id="rId4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comments" Target="../comments119.xml" /><Relationship Id="rId2" Type="http://schemas.openxmlformats.org/officeDocument/2006/relationships/vmlDrawing" Target="../drawings/vmlDrawing119.vml" /><Relationship Id="rId3" Type="http://schemas.openxmlformats.org/officeDocument/2006/relationships/drawing" Target="../drawings/drawing119.xml" /><Relationship Id="rId4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comments" Target="../comments120.xml" /><Relationship Id="rId2" Type="http://schemas.openxmlformats.org/officeDocument/2006/relationships/vmlDrawing" Target="../drawings/vmlDrawing120.vml" /><Relationship Id="rId3" Type="http://schemas.openxmlformats.org/officeDocument/2006/relationships/drawing" Target="../drawings/drawing120.xml" /><Relationship Id="rId4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comments" Target="../comments121.xml" /><Relationship Id="rId2" Type="http://schemas.openxmlformats.org/officeDocument/2006/relationships/vmlDrawing" Target="../drawings/vmlDrawing121.vml" /><Relationship Id="rId3" Type="http://schemas.openxmlformats.org/officeDocument/2006/relationships/drawing" Target="../drawings/drawing121.xml" /><Relationship Id="rId4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comments" Target="../comments122.xml" /><Relationship Id="rId2" Type="http://schemas.openxmlformats.org/officeDocument/2006/relationships/vmlDrawing" Target="../drawings/vmlDrawing122.vml" /><Relationship Id="rId3" Type="http://schemas.openxmlformats.org/officeDocument/2006/relationships/drawing" Target="../drawings/drawing122.xml" /><Relationship Id="rId4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comments" Target="../comments123.xml" /><Relationship Id="rId2" Type="http://schemas.openxmlformats.org/officeDocument/2006/relationships/vmlDrawing" Target="../drawings/vmlDrawing123.vml" /><Relationship Id="rId3" Type="http://schemas.openxmlformats.org/officeDocument/2006/relationships/drawing" Target="../drawings/drawing123.xml" /><Relationship Id="rId4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comments" Target="../comments124.xml" /><Relationship Id="rId2" Type="http://schemas.openxmlformats.org/officeDocument/2006/relationships/vmlDrawing" Target="../drawings/vmlDrawing124.vml" /><Relationship Id="rId3" Type="http://schemas.openxmlformats.org/officeDocument/2006/relationships/drawing" Target="../drawings/drawing124.xml" /><Relationship Id="rId4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comments" Target="../comments125.xml" /><Relationship Id="rId2" Type="http://schemas.openxmlformats.org/officeDocument/2006/relationships/vmlDrawing" Target="../drawings/vmlDrawing125.vml" /><Relationship Id="rId3" Type="http://schemas.openxmlformats.org/officeDocument/2006/relationships/drawing" Target="../drawings/drawing125.xml" /><Relationship Id="rId4" Type="http://schemas.openxmlformats.org/officeDocument/2006/relationships/printerSettings" Target="../printerSettings/printerSettings12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drawing" Target="../drawings/drawing34.xml" /><Relationship Id="rId4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drawing" Target="../drawings/drawing35.xml" /><Relationship Id="rId4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Relationship Id="rId3" Type="http://schemas.openxmlformats.org/officeDocument/2006/relationships/drawing" Target="../drawings/drawing36.xml" /><Relationship Id="rId4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7.vml" /><Relationship Id="rId3" Type="http://schemas.openxmlformats.org/officeDocument/2006/relationships/drawing" Target="../drawings/drawing37.xml" /><Relationship Id="rId4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8.vml" /><Relationship Id="rId3" Type="http://schemas.openxmlformats.org/officeDocument/2006/relationships/drawing" Target="../drawings/drawing38.xml" /><Relationship Id="rId4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9.vml" /><Relationship Id="rId3" Type="http://schemas.openxmlformats.org/officeDocument/2006/relationships/drawing" Target="../drawings/drawing39.xml" /><Relationship Id="rId4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40.vml" /><Relationship Id="rId3" Type="http://schemas.openxmlformats.org/officeDocument/2006/relationships/drawing" Target="../drawings/drawing40.xml" /><Relationship Id="rId4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1.vml" /><Relationship Id="rId3" Type="http://schemas.openxmlformats.org/officeDocument/2006/relationships/drawing" Target="../drawings/drawing41.xml" /><Relationship Id="rId4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2.vml" /><Relationship Id="rId3" Type="http://schemas.openxmlformats.org/officeDocument/2006/relationships/drawing" Target="../drawings/drawing42.xml" /><Relationship Id="rId4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3.vml" /><Relationship Id="rId3" Type="http://schemas.openxmlformats.org/officeDocument/2006/relationships/drawing" Target="../drawings/drawing43.xml" /><Relationship Id="rId4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4.vml" /><Relationship Id="rId3" Type="http://schemas.openxmlformats.org/officeDocument/2006/relationships/drawing" Target="../drawings/drawing44.xml" /><Relationship Id="rId4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5.vml" /><Relationship Id="rId3" Type="http://schemas.openxmlformats.org/officeDocument/2006/relationships/drawing" Target="../drawings/drawing45.xml" /><Relationship Id="rId4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46.vml" /><Relationship Id="rId3" Type="http://schemas.openxmlformats.org/officeDocument/2006/relationships/drawing" Target="../drawings/drawing46.xml" /><Relationship Id="rId4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47.vml" /><Relationship Id="rId3" Type="http://schemas.openxmlformats.org/officeDocument/2006/relationships/drawing" Target="../drawings/drawing47.xml" /><Relationship Id="rId4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48.vml" /><Relationship Id="rId3" Type="http://schemas.openxmlformats.org/officeDocument/2006/relationships/drawing" Target="../drawings/drawing48.xml" /><Relationship Id="rId4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49.vml" /><Relationship Id="rId3" Type="http://schemas.openxmlformats.org/officeDocument/2006/relationships/drawing" Target="../drawings/drawing49.xml" /><Relationship Id="rId4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50.vml" /><Relationship Id="rId3" Type="http://schemas.openxmlformats.org/officeDocument/2006/relationships/drawing" Target="../drawings/drawing50.xml" /><Relationship Id="rId4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51.vml" /><Relationship Id="rId3" Type="http://schemas.openxmlformats.org/officeDocument/2006/relationships/drawing" Target="../drawings/drawing51.xml" /><Relationship Id="rId4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52.vml" /><Relationship Id="rId3" Type="http://schemas.openxmlformats.org/officeDocument/2006/relationships/drawing" Target="../drawings/drawing52.xml" /><Relationship Id="rId4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53.vml" /><Relationship Id="rId3" Type="http://schemas.openxmlformats.org/officeDocument/2006/relationships/drawing" Target="../drawings/drawing53.xml" /><Relationship Id="rId4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54.vml" /><Relationship Id="rId3" Type="http://schemas.openxmlformats.org/officeDocument/2006/relationships/drawing" Target="../drawings/drawing54.xml" /><Relationship Id="rId4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55.vml" /><Relationship Id="rId3" Type="http://schemas.openxmlformats.org/officeDocument/2006/relationships/drawing" Target="../drawings/drawing55.xml" /><Relationship Id="rId4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56.vml" /><Relationship Id="rId3" Type="http://schemas.openxmlformats.org/officeDocument/2006/relationships/drawing" Target="../drawings/drawing56.xml" /><Relationship Id="rId4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57.vml" /><Relationship Id="rId3" Type="http://schemas.openxmlformats.org/officeDocument/2006/relationships/drawing" Target="../drawings/drawing57.xml" /><Relationship Id="rId4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58.vml" /><Relationship Id="rId3" Type="http://schemas.openxmlformats.org/officeDocument/2006/relationships/drawing" Target="../drawings/drawing58.xml" /><Relationship Id="rId4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59.vml" /><Relationship Id="rId3" Type="http://schemas.openxmlformats.org/officeDocument/2006/relationships/drawing" Target="../drawings/drawing59.xml" /><Relationship Id="rId4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60.vml" /><Relationship Id="rId3" Type="http://schemas.openxmlformats.org/officeDocument/2006/relationships/drawing" Target="../drawings/drawing60.xml" /><Relationship Id="rId4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61.vml" /><Relationship Id="rId3" Type="http://schemas.openxmlformats.org/officeDocument/2006/relationships/drawing" Target="../drawings/drawing61.xml" /><Relationship Id="rId4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comments" Target="../comments62.xml" /><Relationship Id="rId2" Type="http://schemas.openxmlformats.org/officeDocument/2006/relationships/vmlDrawing" Target="../drawings/vmlDrawing62.vml" /><Relationship Id="rId3" Type="http://schemas.openxmlformats.org/officeDocument/2006/relationships/drawing" Target="../drawings/drawing62.xml" /><Relationship Id="rId4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comments" Target="../comments63.xml" /><Relationship Id="rId2" Type="http://schemas.openxmlformats.org/officeDocument/2006/relationships/vmlDrawing" Target="../drawings/vmlDrawing63.vml" /><Relationship Id="rId3" Type="http://schemas.openxmlformats.org/officeDocument/2006/relationships/drawing" Target="../drawings/drawing63.xml" /><Relationship Id="rId4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comments" Target="../comments64.xml" /><Relationship Id="rId2" Type="http://schemas.openxmlformats.org/officeDocument/2006/relationships/vmlDrawing" Target="../drawings/vmlDrawing64.vml" /><Relationship Id="rId3" Type="http://schemas.openxmlformats.org/officeDocument/2006/relationships/drawing" Target="../drawings/drawing64.xml" /><Relationship Id="rId4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comments" Target="../comments65.xml" /><Relationship Id="rId2" Type="http://schemas.openxmlformats.org/officeDocument/2006/relationships/vmlDrawing" Target="../drawings/vmlDrawing65.vml" /><Relationship Id="rId3" Type="http://schemas.openxmlformats.org/officeDocument/2006/relationships/drawing" Target="../drawings/drawing65.xml" /><Relationship Id="rId4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comments" Target="../comments66.xml" /><Relationship Id="rId2" Type="http://schemas.openxmlformats.org/officeDocument/2006/relationships/vmlDrawing" Target="../drawings/vmlDrawing66.vml" /><Relationship Id="rId3" Type="http://schemas.openxmlformats.org/officeDocument/2006/relationships/drawing" Target="../drawings/drawing66.xml" /><Relationship Id="rId4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comments" Target="../comments67.xml" /><Relationship Id="rId2" Type="http://schemas.openxmlformats.org/officeDocument/2006/relationships/vmlDrawing" Target="../drawings/vmlDrawing67.vml" /><Relationship Id="rId3" Type="http://schemas.openxmlformats.org/officeDocument/2006/relationships/drawing" Target="../drawings/drawing67.xml" /><Relationship Id="rId4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comments" Target="../comments68.xml" /><Relationship Id="rId2" Type="http://schemas.openxmlformats.org/officeDocument/2006/relationships/vmlDrawing" Target="../drawings/vmlDrawing68.vml" /><Relationship Id="rId3" Type="http://schemas.openxmlformats.org/officeDocument/2006/relationships/drawing" Target="../drawings/drawing68.xml" /><Relationship Id="rId4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comments" Target="../comments69.xml" /><Relationship Id="rId2" Type="http://schemas.openxmlformats.org/officeDocument/2006/relationships/vmlDrawing" Target="../drawings/vmlDrawing69.vml" /><Relationship Id="rId3" Type="http://schemas.openxmlformats.org/officeDocument/2006/relationships/drawing" Target="../drawings/drawing69.xml" /><Relationship Id="rId4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comments" Target="../comments70.xml" /><Relationship Id="rId2" Type="http://schemas.openxmlformats.org/officeDocument/2006/relationships/vmlDrawing" Target="../drawings/vmlDrawing70.vml" /><Relationship Id="rId3" Type="http://schemas.openxmlformats.org/officeDocument/2006/relationships/drawing" Target="../drawings/drawing70.xml" /><Relationship Id="rId4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comments" Target="../comments71.xml" /><Relationship Id="rId2" Type="http://schemas.openxmlformats.org/officeDocument/2006/relationships/vmlDrawing" Target="../drawings/vmlDrawing71.vml" /><Relationship Id="rId3" Type="http://schemas.openxmlformats.org/officeDocument/2006/relationships/drawing" Target="../drawings/drawing71.xml" /><Relationship Id="rId4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comments" Target="../comments72.xml" /><Relationship Id="rId2" Type="http://schemas.openxmlformats.org/officeDocument/2006/relationships/vmlDrawing" Target="../drawings/vmlDrawing72.vml" /><Relationship Id="rId3" Type="http://schemas.openxmlformats.org/officeDocument/2006/relationships/drawing" Target="../drawings/drawing72.xml" /><Relationship Id="rId4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comments" Target="../comments73.xml" /><Relationship Id="rId2" Type="http://schemas.openxmlformats.org/officeDocument/2006/relationships/vmlDrawing" Target="../drawings/vmlDrawing73.vml" /><Relationship Id="rId3" Type="http://schemas.openxmlformats.org/officeDocument/2006/relationships/drawing" Target="../drawings/drawing73.xml" /><Relationship Id="rId4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comments" Target="../comments74.xml" /><Relationship Id="rId2" Type="http://schemas.openxmlformats.org/officeDocument/2006/relationships/vmlDrawing" Target="../drawings/vmlDrawing74.vml" /><Relationship Id="rId3" Type="http://schemas.openxmlformats.org/officeDocument/2006/relationships/drawing" Target="../drawings/drawing74.xml" /><Relationship Id="rId4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comments" Target="../comments75.xml" /><Relationship Id="rId2" Type="http://schemas.openxmlformats.org/officeDocument/2006/relationships/vmlDrawing" Target="../drawings/vmlDrawing75.vml" /><Relationship Id="rId3" Type="http://schemas.openxmlformats.org/officeDocument/2006/relationships/drawing" Target="../drawings/drawing75.xml" /><Relationship Id="rId4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comments" Target="../comments76.xml" /><Relationship Id="rId2" Type="http://schemas.openxmlformats.org/officeDocument/2006/relationships/vmlDrawing" Target="../drawings/vmlDrawing76.vml" /><Relationship Id="rId3" Type="http://schemas.openxmlformats.org/officeDocument/2006/relationships/drawing" Target="../drawings/drawing76.xml" /><Relationship Id="rId4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comments" Target="../comments77.xml" /><Relationship Id="rId2" Type="http://schemas.openxmlformats.org/officeDocument/2006/relationships/vmlDrawing" Target="../drawings/vmlDrawing77.vml" /><Relationship Id="rId3" Type="http://schemas.openxmlformats.org/officeDocument/2006/relationships/drawing" Target="../drawings/drawing77.xml" /><Relationship Id="rId4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comments" Target="../comments78.xml" /><Relationship Id="rId2" Type="http://schemas.openxmlformats.org/officeDocument/2006/relationships/vmlDrawing" Target="../drawings/vmlDrawing78.vml" /><Relationship Id="rId3" Type="http://schemas.openxmlformats.org/officeDocument/2006/relationships/drawing" Target="../drawings/drawing78.xml" /><Relationship Id="rId4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comments" Target="../comments79.xml" /><Relationship Id="rId2" Type="http://schemas.openxmlformats.org/officeDocument/2006/relationships/vmlDrawing" Target="../drawings/vmlDrawing79.vml" /><Relationship Id="rId3" Type="http://schemas.openxmlformats.org/officeDocument/2006/relationships/drawing" Target="../drawings/drawing79.xml" /><Relationship Id="rId4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comments" Target="../comments80.xml" /><Relationship Id="rId2" Type="http://schemas.openxmlformats.org/officeDocument/2006/relationships/vmlDrawing" Target="../drawings/vmlDrawing80.vml" /><Relationship Id="rId3" Type="http://schemas.openxmlformats.org/officeDocument/2006/relationships/drawing" Target="../drawings/drawing80.xml" /><Relationship Id="rId4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comments" Target="../comments81.xml" /><Relationship Id="rId2" Type="http://schemas.openxmlformats.org/officeDocument/2006/relationships/vmlDrawing" Target="../drawings/vmlDrawing81.vml" /><Relationship Id="rId3" Type="http://schemas.openxmlformats.org/officeDocument/2006/relationships/drawing" Target="../drawings/drawing81.xml" /><Relationship Id="rId4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comments" Target="../comments82.xml" /><Relationship Id="rId2" Type="http://schemas.openxmlformats.org/officeDocument/2006/relationships/vmlDrawing" Target="../drawings/vmlDrawing82.vml" /><Relationship Id="rId3" Type="http://schemas.openxmlformats.org/officeDocument/2006/relationships/drawing" Target="../drawings/drawing82.xml" /><Relationship Id="rId4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comments" Target="../comments83.xml" /><Relationship Id="rId2" Type="http://schemas.openxmlformats.org/officeDocument/2006/relationships/vmlDrawing" Target="../drawings/vmlDrawing83.vml" /><Relationship Id="rId3" Type="http://schemas.openxmlformats.org/officeDocument/2006/relationships/drawing" Target="../drawings/drawing83.xml" /><Relationship Id="rId4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comments" Target="../comments84.xml" /><Relationship Id="rId2" Type="http://schemas.openxmlformats.org/officeDocument/2006/relationships/vmlDrawing" Target="../drawings/vmlDrawing84.vml" /><Relationship Id="rId3" Type="http://schemas.openxmlformats.org/officeDocument/2006/relationships/drawing" Target="../drawings/drawing84.xml" /><Relationship Id="rId4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comments" Target="../comments85.xml" /><Relationship Id="rId2" Type="http://schemas.openxmlformats.org/officeDocument/2006/relationships/vmlDrawing" Target="../drawings/vmlDrawing85.vml" /><Relationship Id="rId3" Type="http://schemas.openxmlformats.org/officeDocument/2006/relationships/drawing" Target="../drawings/drawing85.xml" /><Relationship Id="rId4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comments" Target="../comments86.xml" /><Relationship Id="rId2" Type="http://schemas.openxmlformats.org/officeDocument/2006/relationships/vmlDrawing" Target="../drawings/vmlDrawing86.vml" /><Relationship Id="rId3" Type="http://schemas.openxmlformats.org/officeDocument/2006/relationships/drawing" Target="../drawings/drawing86.xml" /><Relationship Id="rId4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comments" Target="../comments87.xml" /><Relationship Id="rId2" Type="http://schemas.openxmlformats.org/officeDocument/2006/relationships/vmlDrawing" Target="../drawings/vmlDrawing87.vml" /><Relationship Id="rId3" Type="http://schemas.openxmlformats.org/officeDocument/2006/relationships/drawing" Target="../drawings/drawing87.xml" /><Relationship Id="rId4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comments" Target="../comments88.xml" /><Relationship Id="rId2" Type="http://schemas.openxmlformats.org/officeDocument/2006/relationships/vmlDrawing" Target="../drawings/vmlDrawing88.vml" /><Relationship Id="rId3" Type="http://schemas.openxmlformats.org/officeDocument/2006/relationships/drawing" Target="../drawings/drawing88.xml" /><Relationship Id="rId4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comments" Target="../comments89.xml" /><Relationship Id="rId2" Type="http://schemas.openxmlformats.org/officeDocument/2006/relationships/vmlDrawing" Target="../drawings/vmlDrawing89.vml" /><Relationship Id="rId3" Type="http://schemas.openxmlformats.org/officeDocument/2006/relationships/drawing" Target="../drawings/drawing89.xml" /><Relationship Id="rId4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comments" Target="../comments90.xml" /><Relationship Id="rId2" Type="http://schemas.openxmlformats.org/officeDocument/2006/relationships/vmlDrawing" Target="../drawings/vmlDrawing90.vml" /><Relationship Id="rId3" Type="http://schemas.openxmlformats.org/officeDocument/2006/relationships/drawing" Target="../drawings/drawing90.xml" /><Relationship Id="rId4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comments" Target="../comments91.xml" /><Relationship Id="rId2" Type="http://schemas.openxmlformats.org/officeDocument/2006/relationships/vmlDrawing" Target="../drawings/vmlDrawing91.vml" /><Relationship Id="rId3" Type="http://schemas.openxmlformats.org/officeDocument/2006/relationships/drawing" Target="../drawings/drawing91.xml" /><Relationship Id="rId4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comments" Target="../comments92.xml" /><Relationship Id="rId2" Type="http://schemas.openxmlformats.org/officeDocument/2006/relationships/vmlDrawing" Target="../drawings/vmlDrawing92.vml" /><Relationship Id="rId3" Type="http://schemas.openxmlformats.org/officeDocument/2006/relationships/drawing" Target="../drawings/drawing92.xml" /><Relationship Id="rId4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comments" Target="../comments93.xml" /><Relationship Id="rId2" Type="http://schemas.openxmlformats.org/officeDocument/2006/relationships/vmlDrawing" Target="../drawings/vmlDrawing93.vml" /><Relationship Id="rId3" Type="http://schemas.openxmlformats.org/officeDocument/2006/relationships/drawing" Target="../drawings/drawing93.xml" /><Relationship Id="rId4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comments" Target="../comments94.xml" /><Relationship Id="rId2" Type="http://schemas.openxmlformats.org/officeDocument/2006/relationships/vmlDrawing" Target="../drawings/vmlDrawing94.vml" /><Relationship Id="rId3" Type="http://schemas.openxmlformats.org/officeDocument/2006/relationships/drawing" Target="../drawings/drawing94.xml" /><Relationship Id="rId4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comments" Target="../comments95.xml" /><Relationship Id="rId2" Type="http://schemas.openxmlformats.org/officeDocument/2006/relationships/vmlDrawing" Target="../drawings/vmlDrawing95.vml" /><Relationship Id="rId3" Type="http://schemas.openxmlformats.org/officeDocument/2006/relationships/drawing" Target="../drawings/drawing95.xml" /><Relationship Id="rId4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comments" Target="../comments96.xml" /><Relationship Id="rId2" Type="http://schemas.openxmlformats.org/officeDocument/2006/relationships/vmlDrawing" Target="../drawings/vmlDrawing96.vml" /><Relationship Id="rId3" Type="http://schemas.openxmlformats.org/officeDocument/2006/relationships/drawing" Target="../drawings/drawing96.xml" /><Relationship Id="rId4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comments" Target="../comments97.xml" /><Relationship Id="rId2" Type="http://schemas.openxmlformats.org/officeDocument/2006/relationships/vmlDrawing" Target="../drawings/vmlDrawing97.vml" /><Relationship Id="rId3" Type="http://schemas.openxmlformats.org/officeDocument/2006/relationships/drawing" Target="../drawings/drawing97.xml" /><Relationship Id="rId4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comments" Target="../comments98.xml" /><Relationship Id="rId2" Type="http://schemas.openxmlformats.org/officeDocument/2006/relationships/vmlDrawing" Target="../drawings/vmlDrawing98.vml" /><Relationship Id="rId3" Type="http://schemas.openxmlformats.org/officeDocument/2006/relationships/drawing" Target="../drawings/drawing98.xml" /><Relationship Id="rId4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comments" Target="../comments99.xml" /><Relationship Id="rId2" Type="http://schemas.openxmlformats.org/officeDocument/2006/relationships/vmlDrawing" Target="../drawings/vmlDrawing99.vml" /><Relationship Id="rId3" Type="http://schemas.openxmlformats.org/officeDocument/2006/relationships/drawing" Target="../drawings/drawing99.xml" /><Relationship Id="rId4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D23" sqref="D2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284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68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179</v>
      </c>
      <c r="E7" s="6" t="s">
        <v>97</v>
      </c>
      <c r="F7" s="36">
        <f>0.885*0.42*10</f>
        <v>3.7169999999999996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181</v>
      </c>
      <c r="E8" s="6" t="s">
        <v>97</v>
      </c>
      <c r="F8" s="34">
        <f>3.7-1.8</f>
        <v>1.9000000000000001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180</v>
      </c>
      <c r="E9" s="6" t="s">
        <v>97</v>
      </c>
      <c r="F9" s="36">
        <f>(0.485*0.1+0.435*0.07+(0.435+0.1)/2*0.1+(0.15*1.044+0.25*1.044)/2*0.35)*10</f>
        <v>1.7877999999999998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182</v>
      </c>
      <c r="E10" s="6" t="s">
        <v>393</v>
      </c>
      <c r="F10" s="36">
        <f>0.485*10</f>
        <v>4.85</v>
      </c>
      <c r="I10" s="32"/>
      <c r="J10" s="33"/>
    </row>
    <row r="11" spans="2:10" ht="30" customHeight="1">
      <c r="B11" s="5" t="s">
        <v>291</v>
      </c>
      <c r="C11" s="6" t="s">
        <v>292</v>
      </c>
      <c r="D11" s="35" t="s">
        <v>182</v>
      </c>
      <c r="E11" s="6" t="s">
        <v>393</v>
      </c>
      <c r="F11" s="9">
        <f>0.485*10</f>
        <v>4.85</v>
      </c>
      <c r="I11" s="32"/>
      <c r="J11" s="33"/>
    </row>
    <row r="12" spans="2:10" ht="30" customHeight="1">
      <c r="B12" s="5" t="s">
        <v>381</v>
      </c>
      <c r="C12" s="6" t="s">
        <v>382</v>
      </c>
      <c r="D12" s="37" t="s">
        <v>157</v>
      </c>
      <c r="E12" s="6" t="s">
        <v>97</v>
      </c>
      <c r="F12" s="9">
        <f>0.19*0.35*10</f>
        <v>0.6649999999999999</v>
      </c>
      <c r="I12" s="32"/>
      <c r="J12" s="33"/>
    </row>
    <row r="13" spans="2:10" ht="30" customHeight="1">
      <c r="B13" s="5" t="s">
        <v>320</v>
      </c>
      <c r="C13" s="6">
        <v>0</v>
      </c>
      <c r="D13" s="37" t="s">
        <v>183</v>
      </c>
      <c r="E13" s="6" t="s">
        <v>393</v>
      </c>
      <c r="F13" s="9">
        <f>(0.07+0.17)*10</f>
        <v>2.4000000000000004</v>
      </c>
      <c r="I13" s="32"/>
      <c r="J13" s="33"/>
    </row>
    <row r="14" spans="2:10" ht="30" customHeight="1">
      <c r="B14" s="5" t="s">
        <v>387</v>
      </c>
      <c r="C14" s="6">
        <v>0</v>
      </c>
      <c r="D14" s="35" t="s">
        <v>184</v>
      </c>
      <c r="E14" s="6" t="s">
        <v>393</v>
      </c>
      <c r="F14" s="9">
        <f>0.75*1.044*10</f>
        <v>7.83</v>
      </c>
      <c r="I14" s="32"/>
      <c r="J14" s="33"/>
    </row>
    <row r="15" spans="2:10" ht="30" customHeight="1">
      <c r="B15" s="5" t="s">
        <v>388</v>
      </c>
      <c r="C15" s="6" t="s">
        <v>295</v>
      </c>
      <c r="D15" s="39" t="s">
        <v>185</v>
      </c>
      <c r="E15" s="6" t="s">
        <v>97</v>
      </c>
      <c r="F15" s="9">
        <f>(0.07*0.435+(0.1+0.435)/2*0.1)*10</f>
        <v>0.5720000000000001</v>
      </c>
      <c r="I15" s="32"/>
      <c r="J15" s="33"/>
    </row>
    <row r="16" spans="2:10" ht="30" customHeight="1">
      <c r="B16" s="5" t="s">
        <v>389</v>
      </c>
      <c r="C16" s="6" t="s">
        <v>295</v>
      </c>
      <c r="D16" s="4" t="s">
        <v>186</v>
      </c>
      <c r="E16" s="6" t="s">
        <v>97</v>
      </c>
      <c r="F16" s="9">
        <f>0.17*7.83</f>
        <v>1.3311000000000002</v>
      </c>
      <c r="I16" s="32"/>
      <c r="J16" s="33"/>
    </row>
    <row r="17" spans="2:10" ht="30" customHeight="1">
      <c r="B17" s="5" t="s">
        <v>390</v>
      </c>
      <c r="C17" s="6" t="s">
        <v>391</v>
      </c>
      <c r="D17" s="10" t="s">
        <v>187</v>
      </c>
      <c r="E17" s="6" t="s">
        <v>393</v>
      </c>
      <c r="F17" s="9">
        <f>0.783*10</f>
        <v>7.83</v>
      </c>
      <c r="I17" s="32"/>
      <c r="J17" s="33"/>
    </row>
    <row r="18" spans="2:10" ht="30" customHeight="1">
      <c r="B18" s="5" t="s">
        <v>383</v>
      </c>
      <c r="C18" s="6" t="s">
        <v>384</v>
      </c>
      <c r="D18" s="10" t="s">
        <v>188</v>
      </c>
      <c r="E18" s="6" t="s">
        <v>397</v>
      </c>
      <c r="F18" s="9">
        <f>0.6*1.044*10/2*0.36</f>
        <v>1.1275199999999999</v>
      </c>
      <c r="I18" s="32"/>
      <c r="J18" s="33"/>
    </row>
    <row r="19" spans="2:10" ht="30" customHeight="1">
      <c r="B19" s="5" t="s">
        <v>385</v>
      </c>
      <c r="C19" s="6" t="s">
        <v>386</v>
      </c>
      <c r="D19" s="10" t="s">
        <v>189</v>
      </c>
      <c r="E19" s="6" t="s">
        <v>393</v>
      </c>
      <c r="F19" s="9">
        <f>0.6*1.044*10/2*0.1*0.1</f>
        <v>0.03132</v>
      </c>
      <c r="I19" s="32"/>
      <c r="J19" s="33"/>
    </row>
    <row r="20" spans="2:10" ht="30" customHeight="1">
      <c r="B20" s="5" t="s">
        <v>392</v>
      </c>
      <c r="C20" s="6">
        <v>0</v>
      </c>
      <c r="D20" s="10" t="s">
        <v>190</v>
      </c>
      <c r="E20" s="6" t="s">
        <v>393</v>
      </c>
      <c r="F20" s="9">
        <f>0.35*0.783+0.435*0.07+(0.435+0.1)/2*0.1</f>
        <v>0.33125</v>
      </c>
      <c r="I20" s="32"/>
      <c r="J20" s="33"/>
    </row>
    <row r="21" spans="2:10" ht="30" customHeight="1">
      <c r="B21" s="5"/>
      <c r="C21" s="6"/>
      <c r="D21" s="10"/>
      <c r="E21" s="6"/>
      <c r="F21" s="41"/>
      <c r="I21" s="32"/>
      <c r="J21" s="33"/>
    </row>
    <row r="22" spans="2:10" ht="30" customHeight="1">
      <c r="B22" s="5"/>
      <c r="C22" s="6"/>
      <c r="D22" s="37"/>
      <c r="E22" s="13"/>
      <c r="F22" s="36"/>
      <c r="I22" s="32"/>
      <c r="J22" s="33"/>
    </row>
    <row r="23" spans="2:10" ht="30" customHeight="1">
      <c r="B23" s="5"/>
      <c r="C23" s="6"/>
      <c r="D23" s="12"/>
      <c r="E23" s="13"/>
      <c r="F23" s="36"/>
      <c r="I23" s="32"/>
      <c r="J23" s="33"/>
    </row>
    <row r="24" spans="2:10" ht="30" customHeight="1">
      <c r="B24" s="5"/>
      <c r="C24" s="6"/>
      <c r="D24" s="10"/>
      <c r="E24" s="13"/>
      <c r="F24" s="11"/>
      <c r="I24" s="32"/>
      <c r="J24" s="33"/>
    </row>
    <row r="25" spans="2:10" ht="30" customHeight="1">
      <c r="B25" s="5"/>
      <c r="C25" s="6"/>
      <c r="D25" s="10"/>
      <c r="E25" s="13"/>
      <c r="F25" s="11"/>
      <c r="I25" s="32"/>
      <c r="J25" s="33"/>
    </row>
    <row r="26" spans="2:10" ht="30" customHeight="1">
      <c r="B26" s="5"/>
      <c r="C26" s="6"/>
      <c r="D26" s="37"/>
      <c r="E26" s="13"/>
      <c r="F26" s="36"/>
      <c r="I26" s="32"/>
      <c r="J26" s="33"/>
    </row>
    <row r="27" spans="2:10" ht="30" customHeight="1">
      <c r="B27" s="5"/>
      <c r="C27" s="6"/>
      <c r="D27" s="37"/>
      <c r="E27" s="6"/>
      <c r="F27" s="41"/>
      <c r="I27" s="32"/>
      <c r="J27" s="33"/>
    </row>
    <row r="28" spans="2:10" ht="30" customHeight="1">
      <c r="B28" s="5"/>
      <c r="C28" s="6"/>
      <c r="D28" s="12"/>
      <c r="E28" s="13"/>
      <c r="F28" s="9"/>
      <c r="I28" s="32"/>
      <c r="J28" s="33"/>
    </row>
    <row r="29" spans="2:10" ht="30" customHeight="1" thickBot="1">
      <c r="B29" s="43"/>
      <c r="C29" s="44"/>
      <c r="D29" s="45"/>
      <c r="E29" s="44"/>
      <c r="F29" s="46"/>
      <c r="I29" s="32"/>
      <c r="J29" s="33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16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205</v>
      </c>
      <c r="C3" s="20"/>
      <c r="D3" s="21"/>
      <c r="E3" s="22"/>
      <c r="F3" s="23"/>
    </row>
    <row r="4" spans="2:6" ht="30" customHeight="1">
      <c r="B4" s="90" t="s">
        <v>213</v>
      </c>
      <c r="C4" s="92"/>
      <c r="D4" s="92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7" t="s">
        <v>113</v>
      </c>
      <c r="E7" s="6" t="s">
        <v>97</v>
      </c>
      <c r="F7" s="36">
        <f>(0.2+0.4)*(0.2+0.4)*0.58*10</f>
        <v>2.0880000000000005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114</v>
      </c>
      <c r="E8" s="6" t="s">
        <v>97</v>
      </c>
      <c r="F8" s="36">
        <f>2.1-0.3</f>
        <v>1.8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171</v>
      </c>
      <c r="E9" s="6" t="s">
        <v>97</v>
      </c>
      <c r="F9" s="36">
        <f>(0.3*0.3*0.1+0.2*0.2*0.48)*10</f>
        <v>0.28200000000000003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92</v>
      </c>
      <c r="E10" s="6" t="s">
        <v>393</v>
      </c>
      <c r="F10" s="36">
        <f>0.3*0.3*10</f>
        <v>0.8999999999999999</v>
      </c>
      <c r="I10" s="32"/>
      <c r="J10" s="33"/>
    </row>
    <row r="11" spans="2:10" ht="30" customHeight="1">
      <c r="B11" s="5" t="s">
        <v>291</v>
      </c>
      <c r="C11" s="6" t="s">
        <v>292</v>
      </c>
      <c r="D11" s="3" t="s">
        <v>90</v>
      </c>
      <c r="E11" s="6" t="s">
        <v>393</v>
      </c>
      <c r="F11" s="9">
        <f>0.3*0.3*10</f>
        <v>0.8999999999999999</v>
      </c>
      <c r="I11" s="32"/>
      <c r="J11" s="33"/>
    </row>
    <row r="12" spans="2:10" ht="30" customHeight="1">
      <c r="B12" s="5" t="s">
        <v>301</v>
      </c>
      <c r="C12" s="6" t="s">
        <v>302</v>
      </c>
      <c r="D12" s="37" t="s">
        <v>170</v>
      </c>
      <c r="E12" s="6" t="s">
        <v>97</v>
      </c>
      <c r="F12" s="38">
        <f>0.2*0.2*0.03*10</f>
        <v>0.012</v>
      </c>
      <c r="I12" s="32"/>
      <c r="J12" s="33"/>
    </row>
    <row r="13" spans="2:10" ht="30" customHeight="1">
      <c r="B13" s="42" t="s">
        <v>330</v>
      </c>
      <c r="C13" s="13" t="s">
        <v>362</v>
      </c>
      <c r="D13" s="37">
        <v>10</v>
      </c>
      <c r="E13" s="13" t="s">
        <v>395</v>
      </c>
      <c r="F13" s="72">
        <f>10</f>
        <v>10</v>
      </c>
      <c r="I13" s="32"/>
      <c r="J13" s="33"/>
    </row>
    <row r="14" spans="1:6" ht="39.75" customHeight="1">
      <c r="A14" s="18"/>
      <c r="B14" s="63" t="s">
        <v>88</v>
      </c>
      <c r="C14" s="64"/>
      <c r="D14" s="65"/>
      <c r="E14" s="66"/>
      <c r="F14" s="67"/>
    </row>
    <row r="15" spans="2:6" ht="30" customHeight="1">
      <c r="B15" s="90" t="s">
        <v>213</v>
      </c>
      <c r="C15" s="92"/>
      <c r="D15" s="92"/>
      <c r="E15" s="7">
        <v>10</v>
      </c>
      <c r="F15" s="8" t="s">
        <v>162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10" t="s">
        <v>89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321</v>
      </c>
      <c r="C20" s="6" t="s">
        <v>297</v>
      </c>
      <c r="D20" s="12"/>
      <c r="E20" s="13"/>
      <c r="F20" s="9"/>
      <c r="I20" s="32"/>
      <c r="J20" s="33"/>
    </row>
    <row r="21" spans="2:10" ht="30" customHeight="1">
      <c r="B21" s="5" t="s">
        <v>363</v>
      </c>
      <c r="C21" s="6" t="s">
        <v>339</v>
      </c>
      <c r="D21" s="3" t="s">
        <v>94</v>
      </c>
      <c r="E21" s="6" t="s">
        <v>97</v>
      </c>
      <c r="F21" s="38">
        <f>((0.125*0.125+0.095*0.095)/2*0.45-0.0508*0.0508*3.14/4*0.3)*5</f>
        <v>0.0246925464</v>
      </c>
      <c r="I21" s="32"/>
      <c r="J21" s="33"/>
    </row>
    <row r="22" spans="2:10" ht="30" customHeight="1">
      <c r="B22" s="5" t="s">
        <v>364</v>
      </c>
      <c r="C22" s="6" t="s">
        <v>339</v>
      </c>
      <c r="D22" s="3" t="s">
        <v>94</v>
      </c>
      <c r="E22" s="6" t="s">
        <v>97</v>
      </c>
      <c r="F22" s="38">
        <f>((0.125*0.125+0.095*0.095)/2*0.45-0.0508*0.0508*3.14/4*0.3)*5</f>
        <v>0.0246925464</v>
      </c>
      <c r="I22" s="32"/>
      <c r="J22" s="33"/>
    </row>
    <row r="23" spans="2:10" ht="30" customHeight="1">
      <c r="B23" s="5" t="s">
        <v>365</v>
      </c>
      <c r="C23" s="6" t="s">
        <v>339</v>
      </c>
      <c r="D23" s="3" t="s">
        <v>94</v>
      </c>
      <c r="E23" s="6" t="s">
        <v>97</v>
      </c>
      <c r="F23" s="38">
        <f>((0.125*0.125+0.095*0.095)/2*0.45-0.0508*0.0508*3.14/4*0.3)*5</f>
        <v>0.0246925464</v>
      </c>
      <c r="I23" s="32"/>
      <c r="J23" s="33"/>
    </row>
    <row r="24" spans="2:10" ht="30" customHeight="1">
      <c r="B24" s="5" t="s">
        <v>366</v>
      </c>
      <c r="C24" s="6" t="s">
        <v>339</v>
      </c>
      <c r="D24" s="3" t="s">
        <v>94</v>
      </c>
      <c r="E24" s="6" t="s">
        <v>97</v>
      </c>
      <c r="F24" s="38">
        <f>((0.125*0.125+0.095*0.095)/2*0.45-0.0508*0.0508*3.14/4*0.3)*5</f>
        <v>0.0246925464</v>
      </c>
      <c r="I24" s="32"/>
      <c r="J24" s="33"/>
    </row>
    <row r="25" spans="2:10" ht="30" customHeight="1">
      <c r="B25" s="5" t="s">
        <v>367</v>
      </c>
      <c r="C25" s="6" t="s">
        <v>339</v>
      </c>
      <c r="D25" s="3" t="s">
        <v>214</v>
      </c>
      <c r="E25" s="6" t="s">
        <v>97</v>
      </c>
      <c r="F25" s="38">
        <f>((0.125*0.125+0.095*0.095)/2*0.45-0.0508*0.0508*3.14/4*0.3)*5</f>
        <v>0.0246925464</v>
      </c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SUM(J9:J32)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mergeCells count="2">
    <mergeCell ref="B4:D4"/>
    <mergeCell ref="B15:D15"/>
  </mergeCells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J43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820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821</v>
      </c>
      <c r="E7" s="6" t="s">
        <v>97</v>
      </c>
      <c r="F7" s="36">
        <f>((0.216+0.4)*(0.216+0.4)*0.26+(0.39+0.4)*(0.39+0.4)*0.34)*10</f>
        <v>3.1085256000000006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175</v>
      </c>
      <c r="E8" s="6" t="s">
        <v>97</v>
      </c>
      <c r="F8" s="34">
        <f>3.1-0.6</f>
        <v>2.5</v>
      </c>
      <c r="I8" s="32"/>
      <c r="J8" s="80"/>
    </row>
    <row r="9" spans="2:10" ht="60" customHeight="1">
      <c r="B9" s="5" t="s">
        <v>289</v>
      </c>
      <c r="C9" s="6">
        <v>0</v>
      </c>
      <c r="D9" s="3" t="s">
        <v>822</v>
      </c>
      <c r="E9" s="6" t="s">
        <v>97</v>
      </c>
      <c r="F9" s="36">
        <f>(0.3*0.3*0.1+0.49*0.49*0.1+0.39*0.39*0.05+0.135*0.135*3.14*0.19)*10+0.108*0.108*3.14*(0.5-0.34)*10</f>
        <v>0.573480286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90</v>
      </c>
      <c r="E10" s="6" t="s">
        <v>393</v>
      </c>
      <c r="F10" s="36">
        <f>0.3*0.3*10</f>
        <v>0.8999999999999999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824</v>
      </c>
      <c r="E11" s="6" t="s">
        <v>393</v>
      </c>
      <c r="F11" s="9">
        <f>0.3*0.3*10+(0.49*0.49-0.108*0.108*3.14)*10</f>
        <v>2.9347504</v>
      </c>
      <c r="I11" s="32"/>
      <c r="J11" s="80"/>
    </row>
    <row r="12" spans="2:10" ht="30" customHeight="1">
      <c r="B12" s="5" t="s">
        <v>825</v>
      </c>
      <c r="C12" s="6">
        <v>0</v>
      </c>
      <c r="D12" s="76" t="s">
        <v>827</v>
      </c>
      <c r="E12" s="6">
        <v>0</v>
      </c>
      <c r="F12" s="40"/>
      <c r="I12" s="32"/>
      <c r="J12" s="80"/>
    </row>
    <row r="13" spans="2:10" ht="30" customHeight="1">
      <c r="B13" s="5" t="s">
        <v>828</v>
      </c>
      <c r="C13" s="6">
        <v>0</v>
      </c>
      <c r="D13" s="3" t="s">
        <v>829</v>
      </c>
      <c r="E13" s="6" t="s">
        <v>395</v>
      </c>
      <c r="F13" s="9">
        <v>10</v>
      </c>
      <c r="I13" s="32"/>
      <c r="J13" s="80"/>
    </row>
    <row r="14" spans="2:10" ht="30" customHeight="1">
      <c r="B14" s="5" t="s">
        <v>830</v>
      </c>
      <c r="C14" s="6" t="s">
        <v>831</v>
      </c>
      <c r="D14" s="37" t="s">
        <v>832</v>
      </c>
      <c r="E14" s="6" t="s">
        <v>397</v>
      </c>
      <c r="F14" s="9">
        <f>0.2*10</f>
        <v>2</v>
      </c>
      <c r="I14" s="32"/>
      <c r="J14" s="80"/>
    </row>
    <row r="15" spans="2:10" ht="30" customHeight="1">
      <c r="B15" s="5">
        <v>0</v>
      </c>
      <c r="C15" s="6" t="s">
        <v>833</v>
      </c>
      <c r="D15" s="37" t="s">
        <v>834</v>
      </c>
      <c r="E15" s="6" t="s">
        <v>397</v>
      </c>
      <c r="F15" s="85">
        <f>0.15*10</f>
        <v>1.5</v>
      </c>
      <c r="I15" s="32"/>
      <c r="J15" s="80"/>
    </row>
    <row r="16" spans="2:10" ht="30" customHeight="1">
      <c r="B16" s="5" t="s">
        <v>835</v>
      </c>
      <c r="C16" s="6">
        <v>0</v>
      </c>
      <c r="D16" s="37">
        <v>10</v>
      </c>
      <c r="E16" s="6" t="s">
        <v>394</v>
      </c>
      <c r="F16" s="86">
        <f>10</f>
        <v>10</v>
      </c>
      <c r="I16" s="32"/>
      <c r="J16" s="80"/>
    </row>
    <row r="17" spans="2:10" ht="30" customHeight="1">
      <c r="B17" s="5"/>
      <c r="C17" s="6"/>
      <c r="D17" s="37"/>
      <c r="E17" s="6"/>
      <c r="F17" s="86"/>
      <c r="I17" s="32"/>
      <c r="J17" s="80"/>
    </row>
    <row r="18" spans="2:10" ht="30" customHeight="1">
      <c r="B18" s="5"/>
      <c r="C18" s="6"/>
      <c r="D18" s="37"/>
      <c r="E18" s="6"/>
      <c r="F18" s="11"/>
      <c r="I18" s="32"/>
      <c r="J18" s="80"/>
    </row>
    <row r="19" spans="2:10" ht="30" customHeight="1">
      <c r="B19" s="5"/>
      <c r="C19" s="6"/>
      <c r="D19" s="37"/>
      <c r="E19" s="6"/>
      <c r="F19" s="9"/>
      <c r="I19" s="32"/>
      <c r="J19" s="80"/>
    </row>
    <row r="20" spans="2:10" ht="30" customHeight="1">
      <c r="B20" s="5"/>
      <c r="C20" s="6"/>
      <c r="D20" s="10"/>
      <c r="E20" s="6"/>
      <c r="F20" s="60"/>
      <c r="I20" s="32"/>
      <c r="J20" s="80"/>
    </row>
    <row r="21" spans="2:10" ht="30" customHeight="1">
      <c r="B21" s="5"/>
      <c r="C21" s="6"/>
      <c r="D21" s="10"/>
      <c r="E21" s="6"/>
      <c r="F21" s="60"/>
      <c r="I21" s="32"/>
      <c r="J21" s="80"/>
    </row>
    <row r="22" spans="2:10" ht="30" customHeight="1">
      <c r="B22" s="5"/>
      <c r="C22" s="6"/>
      <c r="D22" s="10"/>
      <c r="E22" s="6"/>
      <c r="F22" s="87"/>
      <c r="I22" s="32"/>
      <c r="J22" s="80"/>
    </row>
    <row r="23" spans="2:10" ht="30" customHeight="1">
      <c r="B23" s="5"/>
      <c r="C23" s="6"/>
      <c r="D23" s="10"/>
      <c r="E23" s="6"/>
      <c r="F23" s="87"/>
      <c r="I23" s="32"/>
      <c r="J23" s="80"/>
    </row>
    <row r="24" spans="2:10" ht="30" customHeight="1">
      <c r="B24" s="5"/>
      <c r="C24" s="6"/>
      <c r="D24" s="10"/>
      <c r="E24" s="6"/>
      <c r="F24" s="60"/>
      <c r="I24" s="32"/>
      <c r="J24" s="80"/>
    </row>
    <row r="25" spans="2:10" ht="30" customHeight="1">
      <c r="B25" s="5"/>
      <c r="C25" s="6"/>
      <c r="D25" s="10"/>
      <c r="E25" s="6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12"/>
      <c r="E27" s="13"/>
      <c r="F27" s="9"/>
      <c r="I27" s="32"/>
      <c r="J27" s="80"/>
    </row>
    <row r="28" spans="2:10" ht="30" customHeight="1" thickBot="1">
      <c r="B28" s="43"/>
      <c r="C28" s="44"/>
      <c r="D28" s="45"/>
      <c r="E28" s="44"/>
      <c r="F28" s="46"/>
      <c r="I28" s="32"/>
      <c r="J28" s="80"/>
    </row>
    <row r="30" spans="9:10" ht="13.5">
      <c r="I30" s="2"/>
      <c r="J30" s="47"/>
    </row>
    <row r="31" spans="1:4" ht="13.5">
      <c r="A31" s="22"/>
      <c r="B31" s="22"/>
      <c r="C31" s="22"/>
      <c r="D31" s="22"/>
    </row>
    <row r="32" spans="1:4" ht="13.5">
      <c r="A32" s="22"/>
      <c r="B32" s="48"/>
      <c r="C32" s="48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9"/>
      <c r="D40" s="22"/>
    </row>
    <row r="41" spans="1:4" ht="13.5">
      <c r="A41" s="22"/>
      <c r="B41" s="50"/>
      <c r="C41" s="48"/>
      <c r="D41" s="22"/>
    </row>
    <row r="42" spans="1:4" ht="13.5">
      <c r="A42" s="22"/>
      <c r="B42" s="48"/>
      <c r="C42" s="49"/>
      <c r="D42" s="22"/>
    </row>
    <row r="43" spans="1:4" ht="13.5">
      <c r="A43" s="22"/>
      <c r="B43" s="22"/>
      <c r="C43" s="22"/>
      <c r="D43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J43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836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837</v>
      </c>
      <c r="E7" s="6" t="s">
        <v>97</v>
      </c>
      <c r="F7" s="36">
        <f>((0.216+0.4)*(0.216+0.4)*0.36+(0.39+0.4)*(0.39+0.4)*0.34)*10</f>
        <v>3.487981600000001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838</v>
      </c>
      <c r="E8" s="6" t="s">
        <v>97</v>
      </c>
      <c r="F8" s="34">
        <f>3.5-0.6</f>
        <v>2.9</v>
      </c>
      <c r="I8" s="32"/>
      <c r="J8" s="80"/>
    </row>
    <row r="9" spans="2:10" ht="60" customHeight="1">
      <c r="B9" s="5" t="s">
        <v>289</v>
      </c>
      <c r="C9" s="6">
        <v>0</v>
      </c>
      <c r="D9" s="3" t="s">
        <v>839</v>
      </c>
      <c r="E9" s="6" t="s">
        <v>97</v>
      </c>
      <c r="F9" s="36">
        <f>(0.3*0.3*0.1+0.49*0.49*0.1+0.39*0.39*0.05+0.135*0.135*3.14*0.19)*10+0.108*0.108*3.14*(0.6-0.34)*10</f>
        <v>0.6101052459999999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840</v>
      </c>
      <c r="E10" s="6" t="s">
        <v>393</v>
      </c>
      <c r="F10" s="36">
        <f>0.3*0.3*10</f>
        <v>0.8999999999999999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823</v>
      </c>
      <c r="E11" s="6" t="s">
        <v>393</v>
      </c>
      <c r="F11" s="9">
        <f>0.3*0.3*10+(0.49*0.49-0.108*0.108*3.14)*10</f>
        <v>2.9347504</v>
      </c>
      <c r="I11" s="32"/>
      <c r="J11" s="80"/>
    </row>
    <row r="12" spans="2:10" ht="30" customHeight="1">
      <c r="B12" s="5" t="s">
        <v>825</v>
      </c>
      <c r="C12" s="6">
        <v>0</v>
      </c>
      <c r="D12" s="76" t="s">
        <v>826</v>
      </c>
      <c r="E12" s="6">
        <v>0</v>
      </c>
      <c r="F12" s="40"/>
      <c r="I12" s="32"/>
      <c r="J12" s="80"/>
    </row>
    <row r="13" spans="2:10" ht="30" customHeight="1">
      <c r="B13" s="5" t="s">
        <v>828</v>
      </c>
      <c r="C13" s="6">
        <v>0</v>
      </c>
      <c r="D13" s="3" t="s">
        <v>829</v>
      </c>
      <c r="E13" s="6" t="s">
        <v>395</v>
      </c>
      <c r="F13" s="9">
        <v>10</v>
      </c>
      <c r="I13" s="32"/>
      <c r="J13" s="80"/>
    </row>
    <row r="14" spans="2:10" ht="30" customHeight="1">
      <c r="B14" s="5" t="s">
        <v>830</v>
      </c>
      <c r="C14" s="6" t="s">
        <v>831</v>
      </c>
      <c r="D14" s="37" t="s">
        <v>841</v>
      </c>
      <c r="E14" s="6" t="s">
        <v>397</v>
      </c>
      <c r="F14" s="9">
        <f>0.3*10</f>
        <v>3</v>
      </c>
      <c r="I14" s="32"/>
      <c r="J14" s="80"/>
    </row>
    <row r="15" spans="2:10" ht="30" customHeight="1">
      <c r="B15" s="5">
        <v>0</v>
      </c>
      <c r="C15" s="6" t="s">
        <v>833</v>
      </c>
      <c r="D15" s="37" t="s">
        <v>842</v>
      </c>
      <c r="E15" s="6" t="s">
        <v>397</v>
      </c>
      <c r="F15" s="85">
        <f>0.25*10</f>
        <v>2.5</v>
      </c>
      <c r="I15" s="32"/>
      <c r="J15" s="80"/>
    </row>
    <row r="16" spans="2:10" ht="30" customHeight="1">
      <c r="B16" s="5" t="s">
        <v>835</v>
      </c>
      <c r="C16" s="6">
        <v>0</v>
      </c>
      <c r="D16" s="37">
        <v>10</v>
      </c>
      <c r="E16" s="6" t="s">
        <v>394</v>
      </c>
      <c r="F16" s="86">
        <f>10</f>
        <v>10</v>
      </c>
      <c r="I16" s="32"/>
      <c r="J16" s="80"/>
    </row>
    <row r="17" spans="2:10" ht="30" customHeight="1">
      <c r="B17" s="5"/>
      <c r="C17" s="6"/>
      <c r="D17" s="37"/>
      <c r="E17" s="6"/>
      <c r="F17" s="86"/>
      <c r="I17" s="32"/>
      <c r="J17" s="80"/>
    </row>
    <row r="18" spans="2:10" ht="30" customHeight="1">
      <c r="B18" s="5"/>
      <c r="C18" s="6"/>
      <c r="D18" s="37"/>
      <c r="E18" s="6"/>
      <c r="F18" s="11"/>
      <c r="I18" s="32"/>
      <c r="J18" s="80"/>
    </row>
    <row r="19" spans="2:10" ht="30" customHeight="1">
      <c r="B19" s="5"/>
      <c r="C19" s="6"/>
      <c r="D19" s="37"/>
      <c r="E19" s="6"/>
      <c r="F19" s="9"/>
      <c r="I19" s="32"/>
      <c r="J19" s="80"/>
    </row>
    <row r="20" spans="2:10" ht="30" customHeight="1">
      <c r="B20" s="5"/>
      <c r="C20" s="6"/>
      <c r="D20" s="10"/>
      <c r="E20" s="6"/>
      <c r="F20" s="60"/>
      <c r="I20" s="32"/>
      <c r="J20" s="80"/>
    </row>
    <row r="21" spans="2:10" ht="30" customHeight="1">
      <c r="B21" s="5"/>
      <c r="C21" s="6"/>
      <c r="D21" s="10"/>
      <c r="E21" s="6"/>
      <c r="F21" s="60"/>
      <c r="I21" s="32"/>
      <c r="J21" s="80"/>
    </row>
    <row r="22" spans="2:10" ht="30" customHeight="1">
      <c r="B22" s="5"/>
      <c r="C22" s="6"/>
      <c r="D22" s="10"/>
      <c r="E22" s="6"/>
      <c r="F22" s="87"/>
      <c r="I22" s="32"/>
      <c r="J22" s="80"/>
    </row>
    <row r="23" spans="2:10" ht="30" customHeight="1">
      <c r="B23" s="5"/>
      <c r="C23" s="6"/>
      <c r="D23" s="10"/>
      <c r="E23" s="6"/>
      <c r="F23" s="87"/>
      <c r="I23" s="32"/>
      <c r="J23" s="80"/>
    </row>
    <row r="24" spans="2:10" ht="30" customHeight="1">
      <c r="B24" s="5"/>
      <c r="C24" s="6"/>
      <c r="D24" s="10"/>
      <c r="E24" s="6"/>
      <c r="F24" s="60"/>
      <c r="I24" s="32"/>
      <c r="J24" s="80"/>
    </row>
    <row r="25" spans="2:10" ht="30" customHeight="1">
      <c r="B25" s="5"/>
      <c r="C25" s="6"/>
      <c r="D25" s="10"/>
      <c r="E25" s="6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12"/>
      <c r="E27" s="13"/>
      <c r="F27" s="9"/>
      <c r="I27" s="32"/>
      <c r="J27" s="80"/>
    </row>
    <row r="28" spans="2:10" ht="30" customHeight="1" thickBot="1">
      <c r="B28" s="43"/>
      <c r="C28" s="44"/>
      <c r="D28" s="45"/>
      <c r="E28" s="44"/>
      <c r="F28" s="46"/>
      <c r="I28" s="32"/>
      <c r="J28" s="80"/>
    </row>
    <row r="30" spans="9:10" ht="13.5">
      <c r="I30" s="2"/>
      <c r="J30" s="47"/>
    </row>
    <row r="31" spans="1:4" ht="13.5">
      <c r="A31" s="22"/>
      <c r="B31" s="22"/>
      <c r="C31" s="22"/>
      <c r="D31" s="22"/>
    </row>
    <row r="32" spans="1:4" ht="13.5">
      <c r="A32" s="22"/>
      <c r="B32" s="48"/>
      <c r="C32" s="48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9"/>
      <c r="D40" s="22"/>
    </row>
    <row r="41" spans="1:4" ht="13.5">
      <c r="A41" s="22"/>
      <c r="B41" s="50"/>
      <c r="C41" s="48"/>
      <c r="D41" s="22"/>
    </row>
    <row r="42" spans="1:4" ht="13.5">
      <c r="A42" s="22"/>
      <c r="B42" s="48"/>
      <c r="C42" s="49"/>
      <c r="D42" s="22"/>
    </row>
    <row r="43" spans="1:4" ht="13.5">
      <c r="A43" s="22"/>
      <c r="B43" s="22"/>
      <c r="C43" s="22"/>
      <c r="D43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J43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843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844</v>
      </c>
      <c r="E7" s="6" t="s">
        <v>97</v>
      </c>
      <c r="F7" s="36">
        <f>((0.216+1)*(0.216+1)*0.46+(0.39+0.4)*(0.39+0.4)*0.34)*10</f>
        <v>8.9237576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845</v>
      </c>
      <c r="E8" s="6" t="s">
        <v>97</v>
      </c>
      <c r="F8" s="34">
        <f>8.9-0.6</f>
        <v>8.3</v>
      </c>
      <c r="I8" s="32"/>
      <c r="J8" s="80"/>
    </row>
    <row r="9" spans="2:10" ht="60" customHeight="1">
      <c r="B9" s="5" t="s">
        <v>289</v>
      </c>
      <c r="C9" s="6">
        <v>0</v>
      </c>
      <c r="D9" s="3" t="s">
        <v>846</v>
      </c>
      <c r="E9" s="6" t="s">
        <v>97</v>
      </c>
      <c r="F9" s="36">
        <f>(0.3*0.3*0.1+0.49*0.49*0.1+0.39*0.39*0.05+0.135*0.135*3.14*0.19)*10+0.108*0.108*3.14*(0.7-0.34)*10</f>
        <v>0.646730206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90</v>
      </c>
      <c r="E10" s="6" t="s">
        <v>393</v>
      </c>
      <c r="F10" s="36">
        <f>0.3*0.3*10</f>
        <v>0.8999999999999999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823</v>
      </c>
      <c r="E11" s="6" t="s">
        <v>393</v>
      </c>
      <c r="F11" s="9">
        <f>0.3*0.3*10+(0.49*0.49-0.108*0.108*3.14)*10</f>
        <v>2.9347504</v>
      </c>
      <c r="I11" s="32"/>
      <c r="J11" s="80"/>
    </row>
    <row r="12" spans="2:10" ht="30" customHeight="1">
      <c r="B12" s="5" t="s">
        <v>825</v>
      </c>
      <c r="C12" s="6">
        <v>0</v>
      </c>
      <c r="D12" s="76" t="s">
        <v>826</v>
      </c>
      <c r="E12" s="6">
        <v>0</v>
      </c>
      <c r="F12" s="40"/>
      <c r="I12" s="32"/>
      <c r="J12" s="80"/>
    </row>
    <row r="13" spans="2:10" ht="30" customHeight="1">
      <c r="B13" s="5" t="s">
        <v>828</v>
      </c>
      <c r="C13" s="6">
        <v>0</v>
      </c>
      <c r="D13" s="3" t="s">
        <v>829</v>
      </c>
      <c r="E13" s="6" t="s">
        <v>395</v>
      </c>
      <c r="F13" s="9">
        <v>10</v>
      </c>
      <c r="I13" s="32"/>
      <c r="J13" s="80"/>
    </row>
    <row r="14" spans="2:10" ht="30" customHeight="1">
      <c r="B14" s="5" t="s">
        <v>830</v>
      </c>
      <c r="C14" s="6" t="s">
        <v>831</v>
      </c>
      <c r="D14" s="37" t="s">
        <v>415</v>
      </c>
      <c r="E14" s="6" t="s">
        <v>397</v>
      </c>
      <c r="F14" s="9">
        <f>0.4*10</f>
        <v>4</v>
      </c>
      <c r="I14" s="32"/>
      <c r="J14" s="80"/>
    </row>
    <row r="15" spans="2:10" ht="30" customHeight="1">
      <c r="B15" s="5">
        <v>0</v>
      </c>
      <c r="C15" s="6" t="s">
        <v>833</v>
      </c>
      <c r="D15" s="37" t="s">
        <v>847</v>
      </c>
      <c r="E15" s="6" t="s">
        <v>397</v>
      </c>
      <c r="F15" s="85">
        <f>0.35*10</f>
        <v>3.5</v>
      </c>
      <c r="I15" s="32"/>
      <c r="J15" s="80"/>
    </row>
    <row r="16" spans="2:10" ht="30" customHeight="1">
      <c r="B16" s="5" t="s">
        <v>835</v>
      </c>
      <c r="C16" s="6">
        <v>0</v>
      </c>
      <c r="D16" s="37">
        <v>10</v>
      </c>
      <c r="E16" s="6" t="s">
        <v>394</v>
      </c>
      <c r="F16" s="86">
        <f>10</f>
        <v>10</v>
      </c>
      <c r="I16" s="32"/>
      <c r="J16" s="80"/>
    </row>
    <row r="17" spans="2:10" ht="30" customHeight="1">
      <c r="B17" s="5"/>
      <c r="C17" s="6"/>
      <c r="D17" s="37"/>
      <c r="E17" s="6"/>
      <c r="F17" s="86"/>
      <c r="I17" s="32"/>
      <c r="J17" s="80"/>
    </row>
    <row r="18" spans="2:10" ht="30" customHeight="1">
      <c r="B18" s="5"/>
      <c r="C18" s="6"/>
      <c r="D18" s="37"/>
      <c r="E18" s="6"/>
      <c r="F18" s="11"/>
      <c r="I18" s="32"/>
      <c r="J18" s="80"/>
    </row>
    <row r="19" spans="2:10" ht="30" customHeight="1">
      <c r="B19" s="5"/>
      <c r="C19" s="6"/>
      <c r="D19" s="37"/>
      <c r="E19" s="6"/>
      <c r="F19" s="9"/>
      <c r="I19" s="32"/>
      <c r="J19" s="80"/>
    </row>
    <row r="20" spans="2:10" ht="30" customHeight="1">
      <c r="B20" s="5"/>
      <c r="C20" s="6"/>
      <c r="D20" s="10"/>
      <c r="E20" s="6"/>
      <c r="F20" s="60"/>
      <c r="I20" s="32"/>
      <c r="J20" s="80"/>
    </row>
    <row r="21" spans="2:10" ht="30" customHeight="1">
      <c r="B21" s="5"/>
      <c r="C21" s="6"/>
      <c r="D21" s="10"/>
      <c r="E21" s="6"/>
      <c r="F21" s="60"/>
      <c r="I21" s="32"/>
      <c r="J21" s="80"/>
    </row>
    <row r="22" spans="2:10" ht="30" customHeight="1">
      <c r="B22" s="5"/>
      <c r="C22" s="6"/>
      <c r="D22" s="10"/>
      <c r="E22" s="6"/>
      <c r="F22" s="87"/>
      <c r="I22" s="32"/>
      <c r="J22" s="80"/>
    </row>
    <row r="23" spans="2:10" ht="30" customHeight="1">
      <c r="B23" s="5"/>
      <c r="C23" s="6"/>
      <c r="D23" s="10"/>
      <c r="E23" s="6"/>
      <c r="F23" s="87"/>
      <c r="I23" s="32"/>
      <c r="J23" s="80"/>
    </row>
    <row r="24" spans="2:10" ht="30" customHeight="1">
      <c r="B24" s="5"/>
      <c r="C24" s="6"/>
      <c r="D24" s="10"/>
      <c r="E24" s="6"/>
      <c r="F24" s="60"/>
      <c r="I24" s="32"/>
      <c r="J24" s="80"/>
    </row>
    <row r="25" spans="2:10" ht="30" customHeight="1">
      <c r="B25" s="5"/>
      <c r="C25" s="6"/>
      <c r="D25" s="10"/>
      <c r="E25" s="6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12"/>
      <c r="E27" s="13"/>
      <c r="F27" s="9"/>
      <c r="I27" s="32"/>
      <c r="J27" s="80"/>
    </row>
    <row r="28" spans="2:10" ht="30" customHeight="1" thickBot="1">
      <c r="B28" s="43"/>
      <c r="C28" s="44"/>
      <c r="D28" s="45"/>
      <c r="E28" s="44"/>
      <c r="F28" s="46"/>
      <c r="I28" s="32"/>
      <c r="J28" s="80"/>
    </row>
    <row r="30" spans="9:10" ht="13.5">
      <c r="I30" s="2"/>
      <c r="J30" s="47"/>
    </row>
    <row r="31" spans="1:4" ht="13.5">
      <c r="A31" s="22"/>
      <c r="B31" s="22"/>
      <c r="C31" s="22"/>
      <c r="D31" s="22"/>
    </row>
    <row r="32" spans="1:4" ht="13.5">
      <c r="A32" s="22"/>
      <c r="B32" s="48"/>
      <c r="C32" s="48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9"/>
      <c r="D40" s="22"/>
    </row>
    <row r="41" spans="1:4" ht="13.5">
      <c r="A41" s="22"/>
      <c r="B41" s="50"/>
      <c r="C41" s="48"/>
      <c r="D41" s="22"/>
    </row>
    <row r="42" spans="1:4" ht="13.5">
      <c r="A42" s="22"/>
      <c r="B42" s="48"/>
      <c r="C42" s="49"/>
      <c r="D42" s="22"/>
    </row>
    <row r="43" spans="1:4" ht="13.5">
      <c r="A43" s="22"/>
      <c r="B43" s="22"/>
      <c r="C43" s="22"/>
      <c r="D43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J43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848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849</v>
      </c>
      <c r="E7" s="6" t="s">
        <v>97</v>
      </c>
      <c r="F7" s="36">
        <f>((0.216+1)*(0.216+1)*0.56+(0.39+0.4)*(0.39+0.4)*0.34)*10</f>
        <v>10.4024136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850</v>
      </c>
      <c r="E8" s="6" t="s">
        <v>97</v>
      </c>
      <c r="F8" s="34">
        <f>10.4-0.7</f>
        <v>9.700000000000001</v>
      </c>
      <c r="I8" s="32"/>
      <c r="J8" s="80"/>
    </row>
    <row r="9" spans="2:10" ht="60" customHeight="1">
      <c r="B9" s="5" t="s">
        <v>289</v>
      </c>
      <c r="C9" s="6">
        <v>0</v>
      </c>
      <c r="D9" s="3" t="s">
        <v>851</v>
      </c>
      <c r="E9" s="6" t="s">
        <v>97</v>
      </c>
      <c r="F9" s="36">
        <f>(0.3*0.3*0.1+0.49*0.49*0.1+0.39*0.39*0.05+0.135*0.135*3.14*0.19)*10+0.108*0.108*3.14*(0.8-0.34)*10</f>
        <v>0.6833551659999999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90</v>
      </c>
      <c r="E10" s="6" t="s">
        <v>393</v>
      </c>
      <c r="F10" s="36">
        <f>0.3*0.3*10</f>
        <v>0.8999999999999999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823</v>
      </c>
      <c r="E11" s="6" t="s">
        <v>393</v>
      </c>
      <c r="F11" s="9">
        <f>0.3*0.3*10+(0.49*0.49-0.108*0.108*3.14)*10</f>
        <v>2.9347504</v>
      </c>
      <c r="I11" s="32"/>
      <c r="J11" s="80"/>
    </row>
    <row r="12" spans="2:10" ht="30" customHeight="1">
      <c r="B12" s="5" t="s">
        <v>825</v>
      </c>
      <c r="C12" s="6">
        <v>0</v>
      </c>
      <c r="D12" s="76" t="s">
        <v>852</v>
      </c>
      <c r="E12" s="6">
        <v>0</v>
      </c>
      <c r="F12" s="40"/>
      <c r="I12" s="32"/>
      <c r="J12" s="80"/>
    </row>
    <row r="13" spans="2:10" ht="30" customHeight="1">
      <c r="B13" s="5" t="s">
        <v>828</v>
      </c>
      <c r="C13" s="6">
        <v>0</v>
      </c>
      <c r="D13" s="3" t="s">
        <v>829</v>
      </c>
      <c r="E13" s="6" t="s">
        <v>395</v>
      </c>
      <c r="F13" s="9">
        <v>10</v>
      </c>
      <c r="I13" s="32"/>
      <c r="J13" s="80"/>
    </row>
    <row r="14" spans="2:10" ht="30" customHeight="1">
      <c r="B14" s="5" t="s">
        <v>830</v>
      </c>
      <c r="C14" s="6" t="s">
        <v>831</v>
      </c>
      <c r="D14" s="37" t="s">
        <v>853</v>
      </c>
      <c r="E14" s="6" t="s">
        <v>397</v>
      </c>
      <c r="F14" s="9">
        <f>0.5*10</f>
        <v>5</v>
      </c>
      <c r="I14" s="32"/>
      <c r="J14" s="80"/>
    </row>
    <row r="15" spans="2:10" ht="30" customHeight="1">
      <c r="B15" s="5">
        <v>0</v>
      </c>
      <c r="C15" s="6" t="s">
        <v>833</v>
      </c>
      <c r="D15" s="37" t="s">
        <v>5</v>
      </c>
      <c r="E15" s="6" t="s">
        <v>397</v>
      </c>
      <c r="F15" s="85">
        <f>0.45*10</f>
        <v>4.5</v>
      </c>
      <c r="I15" s="32"/>
      <c r="J15" s="80"/>
    </row>
    <row r="16" spans="2:10" ht="30" customHeight="1">
      <c r="B16" s="5" t="s">
        <v>835</v>
      </c>
      <c r="C16" s="6">
        <v>0</v>
      </c>
      <c r="D16" s="37">
        <v>10</v>
      </c>
      <c r="E16" s="6" t="s">
        <v>394</v>
      </c>
      <c r="F16" s="86">
        <f>10</f>
        <v>10</v>
      </c>
      <c r="I16" s="32"/>
      <c r="J16" s="80"/>
    </row>
    <row r="17" spans="2:10" ht="30" customHeight="1">
      <c r="B17" s="5"/>
      <c r="C17" s="6"/>
      <c r="D17" s="37"/>
      <c r="E17" s="6"/>
      <c r="F17" s="86"/>
      <c r="I17" s="32"/>
      <c r="J17" s="80"/>
    </row>
    <row r="18" spans="2:10" ht="30" customHeight="1">
      <c r="B18" s="5"/>
      <c r="C18" s="6"/>
      <c r="D18" s="37"/>
      <c r="E18" s="6"/>
      <c r="F18" s="11"/>
      <c r="I18" s="32"/>
      <c r="J18" s="80"/>
    </row>
    <row r="19" spans="2:10" ht="30" customHeight="1">
      <c r="B19" s="5"/>
      <c r="C19" s="6"/>
      <c r="D19" s="37"/>
      <c r="E19" s="6"/>
      <c r="F19" s="9"/>
      <c r="I19" s="32"/>
      <c r="J19" s="80"/>
    </row>
    <row r="20" spans="2:10" ht="30" customHeight="1">
      <c r="B20" s="5"/>
      <c r="C20" s="6"/>
      <c r="D20" s="10"/>
      <c r="E20" s="6"/>
      <c r="F20" s="60"/>
      <c r="I20" s="32"/>
      <c r="J20" s="80"/>
    </row>
    <row r="21" spans="2:10" ht="30" customHeight="1">
      <c r="B21" s="5"/>
      <c r="C21" s="6"/>
      <c r="D21" s="10"/>
      <c r="E21" s="6"/>
      <c r="F21" s="60"/>
      <c r="I21" s="32"/>
      <c r="J21" s="80"/>
    </row>
    <row r="22" spans="2:10" ht="30" customHeight="1">
      <c r="B22" s="5"/>
      <c r="C22" s="6"/>
      <c r="D22" s="10"/>
      <c r="E22" s="6"/>
      <c r="F22" s="87"/>
      <c r="I22" s="32"/>
      <c r="J22" s="80"/>
    </row>
    <row r="23" spans="2:10" ht="30" customHeight="1">
      <c r="B23" s="5"/>
      <c r="C23" s="6"/>
      <c r="D23" s="10"/>
      <c r="E23" s="6"/>
      <c r="F23" s="87"/>
      <c r="I23" s="32"/>
      <c r="J23" s="80"/>
    </row>
    <row r="24" spans="2:10" ht="30" customHeight="1">
      <c r="B24" s="5"/>
      <c r="C24" s="6"/>
      <c r="D24" s="10"/>
      <c r="E24" s="6"/>
      <c r="F24" s="60"/>
      <c r="I24" s="32"/>
      <c r="J24" s="80"/>
    </row>
    <row r="25" spans="2:10" ht="30" customHeight="1">
      <c r="B25" s="5"/>
      <c r="C25" s="6"/>
      <c r="D25" s="10"/>
      <c r="E25" s="6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12"/>
      <c r="E27" s="13"/>
      <c r="F27" s="9"/>
      <c r="I27" s="32"/>
      <c r="J27" s="80"/>
    </row>
    <row r="28" spans="2:10" ht="30" customHeight="1" thickBot="1">
      <c r="B28" s="43"/>
      <c r="C28" s="44"/>
      <c r="D28" s="45"/>
      <c r="E28" s="44"/>
      <c r="F28" s="46"/>
      <c r="I28" s="32"/>
      <c r="J28" s="80"/>
    </row>
    <row r="30" spans="9:10" ht="13.5">
      <c r="I30" s="2"/>
      <c r="J30" s="47"/>
    </row>
    <row r="31" spans="1:4" ht="13.5">
      <c r="A31" s="22"/>
      <c r="B31" s="22"/>
      <c r="C31" s="22"/>
      <c r="D31" s="22"/>
    </row>
    <row r="32" spans="1:4" ht="13.5">
      <c r="A32" s="22"/>
      <c r="B32" s="48"/>
      <c r="C32" s="48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9"/>
      <c r="D40" s="22"/>
    </row>
    <row r="41" spans="1:4" ht="13.5">
      <c r="A41" s="22"/>
      <c r="B41" s="50"/>
      <c r="C41" s="48"/>
      <c r="D41" s="22"/>
    </row>
    <row r="42" spans="1:4" ht="13.5">
      <c r="A42" s="22"/>
      <c r="B42" s="48"/>
      <c r="C42" s="49"/>
      <c r="D42" s="22"/>
    </row>
    <row r="43" spans="1:4" ht="13.5">
      <c r="A43" s="22"/>
      <c r="B43" s="22"/>
      <c r="C43" s="22"/>
      <c r="D43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J43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854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855</v>
      </c>
      <c r="E7" s="6" t="s">
        <v>97</v>
      </c>
      <c r="F7" s="36">
        <f>((0.216+1)*(0.216+1)+2.216*2.216)/2*1*10</f>
        <v>31.946560000000005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856</v>
      </c>
      <c r="E8" s="6" t="s">
        <v>97</v>
      </c>
      <c r="F8" s="34">
        <f>31.9-0.7</f>
        <v>31.2</v>
      </c>
      <c r="I8" s="32"/>
      <c r="J8" s="80"/>
    </row>
    <row r="9" spans="2:10" ht="60" customHeight="1">
      <c r="B9" s="5" t="s">
        <v>289</v>
      </c>
      <c r="C9" s="6">
        <v>0</v>
      </c>
      <c r="D9" s="3" t="s">
        <v>857</v>
      </c>
      <c r="E9" s="6" t="s">
        <v>97</v>
      </c>
      <c r="F9" s="36">
        <f>(0.3*0.3*0.1+0.49*0.49*0.1+0.39*0.39*0.05+0.135*0.135*3.14*0.19)*10+0.108*0.108*3.14*(0.9-0.34)*10</f>
        <v>0.719980126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90</v>
      </c>
      <c r="E10" s="6" t="s">
        <v>393</v>
      </c>
      <c r="F10" s="36">
        <f>0.3*0.3*10</f>
        <v>0.8999999999999999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823</v>
      </c>
      <c r="E11" s="6" t="s">
        <v>393</v>
      </c>
      <c r="F11" s="9">
        <f>0.3*0.3*10+(0.49*0.49-0.108*0.108*3.14)*10</f>
        <v>2.9347504</v>
      </c>
      <c r="I11" s="32"/>
      <c r="J11" s="80"/>
    </row>
    <row r="12" spans="2:10" ht="30" customHeight="1">
      <c r="B12" s="5" t="s">
        <v>825</v>
      </c>
      <c r="C12" s="6">
        <v>0</v>
      </c>
      <c r="D12" s="76" t="s">
        <v>826</v>
      </c>
      <c r="E12" s="6">
        <v>0</v>
      </c>
      <c r="F12" s="40"/>
      <c r="I12" s="32"/>
      <c r="J12" s="80"/>
    </row>
    <row r="13" spans="2:10" ht="30" customHeight="1">
      <c r="B13" s="5" t="s">
        <v>828</v>
      </c>
      <c r="C13" s="6">
        <v>0</v>
      </c>
      <c r="D13" s="3" t="s">
        <v>829</v>
      </c>
      <c r="E13" s="6" t="s">
        <v>395</v>
      </c>
      <c r="F13" s="9">
        <v>10</v>
      </c>
      <c r="I13" s="32"/>
      <c r="J13" s="80"/>
    </row>
    <row r="14" spans="2:10" ht="30" customHeight="1">
      <c r="B14" s="5" t="s">
        <v>830</v>
      </c>
      <c r="C14" s="6" t="s">
        <v>831</v>
      </c>
      <c r="D14" s="37" t="s">
        <v>858</v>
      </c>
      <c r="E14" s="6" t="s">
        <v>397</v>
      </c>
      <c r="F14" s="9">
        <f>0.6*10</f>
        <v>6</v>
      </c>
      <c r="I14" s="32"/>
      <c r="J14" s="80"/>
    </row>
    <row r="15" spans="2:10" ht="30" customHeight="1">
      <c r="B15" s="5">
        <v>0</v>
      </c>
      <c r="C15" s="6" t="s">
        <v>833</v>
      </c>
      <c r="D15" s="37" t="s">
        <v>71</v>
      </c>
      <c r="E15" s="6" t="s">
        <v>397</v>
      </c>
      <c r="F15" s="85">
        <f>0.55*10</f>
        <v>5.5</v>
      </c>
      <c r="I15" s="32"/>
      <c r="J15" s="80"/>
    </row>
    <row r="16" spans="2:10" ht="30" customHeight="1">
      <c r="B16" s="5" t="s">
        <v>835</v>
      </c>
      <c r="C16" s="6">
        <v>0</v>
      </c>
      <c r="D16" s="37">
        <v>10</v>
      </c>
      <c r="E16" s="6" t="s">
        <v>394</v>
      </c>
      <c r="F16" s="86">
        <f>10</f>
        <v>10</v>
      </c>
      <c r="I16" s="32"/>
      <c r="J16" s="80"/>
    </row>
    <row r="17" spans="2:10" ht="30" customHeight="1">
      <c r="B17" s="5"/>
      <c r="C17" s="6"/>
      <c r="D17" s="37"/>
      <c r="E17" s="6"/>
      <c r="F17" s="86"/>
      <c r="I17" s="32"/>
      <c r="J17" s="80"/>
    </row>
    <row r="18" spans="2:10" ht="30" customHeight="1">
      <c r="B18" s="5"/>
      <c r="C18" s="6"/>
      <c r="D18" s="37"/>
      <c r="E18" s="6"/>
      <c r="F18" s="11"/>
      <c r="I18" s="32"/>
      <c r="J18" s="80"/>
    </row>
    <row r="19" spans="2:10" ht="30" customHeight="1">
      <c r="B19" s="5"/>
      <c r="C19" s="6"/>
      <c r="D19" s="37"/>
      <c r="E19" s="6"/>
      <c r="F19" s="9"/>
      <c r="I19" s="32"/>
      <c r="J19" s="80"/>
    </row>
    <row r="20" spans="2:10" ht="30" customHeight="1">
      <c r="B20" s="5"/>
      <c r="C20" s="6"/>
      <c r="D20" s="10"/>
      <c r="E20" s="6"/>
      <c r="F20" s="60"/>
      <c r="I20" s="32"/>
      <c r="J20" s="80"/>
    </row>
    <row r="21" spans="2:10" ht="30" customHeight="1">
      <c r="B21" s="5"/>
      <c r="C21" s="6"/>
      <c r="D21" s="10"/>
      <c r="E21" s="6"/>
      <c r="F21" s="60"/>
      <c r="I21" s="32"/>
      <c r="J21" s="80"/>
    </row>
    <row r="22" spans="2:10" ht="30" customHeight="1">
      <c r="B22" s="5"/>
      <c r="C22" s="6"/>
      <c r="D22" s="10"/>
      <c r="E22" s="6"/>
      <c r="F22" s="87"/>
      <c r="I22" s="32"/>
      <c r="J22" s="80"/>
    </row>
    <row r="23" spans="2:10" ht="30" customHeight="1">
      <c r="B23" s="5"/>
      <c r="C23" s="6"/>
      <c r="D23" s="10"/>
      <c r="E23" s="6"/>
      <c r="F23" s="87"/>
      <c r="I23" s="32"/>
      <c r="J23" s="80"/>
    </row>
    <row r="24" spans="2:10" ht="30" customHeight="1">
      <c r="B24" s="5"/>
      <c r="C24" s="6"/>
      <c r="D24" s="10"/>
      <c r="E24" s="6"/>
      <c r="F24" s="60"/>
      <c r="I24" s="32"/>
      <c r="J24" s="80"/>
    </row>
    <row r="25" spans="2:10" ht="30" customHeight="1">
      <c r="B25" s="5"/>
      <c r="C25" s="6"/>
      <c r="D25" s="10"/>
      <c r="E25" s="6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12"/>
      <c r="E27" s="13"/>
      <c r="F27" s="9"/>
      <c r="I27" s="32"/>
      <c r="J27" s="80"/>
    </row>
    <row r="28" spans="2:10" ht="30" customHeight="1" thickBot="1">
      <c r="B28" s="43"/>
      <c r="C28" s="44"/>
      <c r="D28" s="45"/>
      <c r="E28" s="44"/>
      <c r="F28" s="46"/>
      <c r="I28" s="32"/>
      <c r="J28" s="80"/>
    </row>
    <row r="30" spans="9:10" ht="13.5">
      <c r="I30" s="2"/>
      <c r="J30" s="47"/>
    </row>
    <row r="31" spans="1:4" ht="13.5">
      <c r="A31" s="22"/>
      <c r="B31" s="22"/>
      <c r="C31" s="22"/>
      <c r="D31" s="22"/>
    </row>
    <row r="32" spans="1:4" ht="13.5">
      <c r="A32" s="22"/>
      <c r="B32" s="48"/>
      <c r="C32" s="48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9"/>
      <c r="D40" s="22"/>
    </row>
    <row r="41" spans="1:4" ht="13.5">
      <c r="A41" s="22"/>
      <c r="B41" s="50"/>
      <c r="C41" s="48"/>
      <c r="D41" s="22"/>
    </row>
    <row r="42" spans="1:4" ht="13.5">
      <c r="A42" s="22"/>
      <c r="B42" s="48"/>
      <c r="C42" s="49"/>
      <c r="D42" s="22"/>
    </row>
    <row r="43" spans="1:4" ht="13.5">
      <c r="A43" s="22"/>
      <c r="B43" s="22"/>
      <c r="C43" s="22"/>
      <c r="D43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J43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859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860</v>
      </c>
      <c r="E7" s="6" t="s">
        <v>97</v>
      </c>
      <c r="F7" s="36">
        <f>((0.216+1)*(0.216+1)+2.316*2.316)/2*1.1*10</f>
        <v>37.633815999999996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861</v>
      </c>
      <c r="E8" s="6" t="s">
        <v>97</v>
      </c>
      <c r="F8" s="34">
        <f>37.6-0.8</f>
        <v>36.800000000000004</v>
      </c>
      <c r="I8" s="32"/>
      <c r="J8" s="80"/>
    </row>
    <row r="9" spans="2:10" ht="60" customHeight="1">
      <c r="B9" s="5" t="s">
        <v>289</v>
      </c>
      <c r="C9" s="6">
        <v>0</v>
      </c>
      <c r="D9" s="3" t="s">
        <v>862</v>
      </c>
      <c r="E9" s="6" t="s">
        <v>97</v>
      </c>
      <c r="F9" s="36">
        <f>(0.3*0.3*0.1+0.49*0.49*0.1+0.39*0.39*0.05+0.135*0.135*3.14*0.19)*10+0.108*0.108*3.14*(1-0.34)*10</f>
        <v>0.756605086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840</v>
      </c>
      <c r="E10" s="6" t="s">
        <v>393</v>
      </c>
      <c r="F10" s="36">
        <f>0.3*0.3*10</f>
        <v>0.8999999999999999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823</v>
      </c>
      <c r="E11" s="6" t="s">
        <v>393</v>
      </c>
      <c r="F11" s="9">
        <f>0.3*0.3*10+(0.49*0.49-0.108*0.108*3.14)*10</f>
        <v>2.9347504</v>
      </c>
      <c r="I11" s="32"/>
      <c r="J11" s="80"/>
    </row>
    <row r="12" spans="2:10" ht="30" customHeight="1">
      <c r="B12" s="5" t="s">
        <v>825</v>
      </c>
      <c r="C12" s="6">
        <v>0</v>
      </c>
      <c r="D12" s="76" t="s">
        <v>826</v>
      </c>
      <c r="E12" s="6">
        <v>0</v>
      </c>
      <c r="F12" s="40"/>
      <c r="I12" s="32"/>
      <c r="J12" s="80"/>
    </row>
    <row r="13" spans="2:10" ht="30" customHeight="1">
      <c r="B13" s="5" t="s">
        <v>828</v>
      </c>
      <c r="C13" s="6">
        <v>0</v>
      </c>
      <c r="D13" s="3" t="s">
        <v>829</v>
      </c>
      <c r="E13" s="6" t="s">
        <v>395</v>
      </c>
      <c r="F13" s="9">
        <v>10</v>
      </c>
      <c r="I13" s="32"/>
      <c r="J13" s="80"/>
    </row>
    <row r="14" spans="2:10" ht="30" customHeight="1">
      <c r="B14" s="5" t="s">
        <v>830</v>
      </c>
      <c r="C14" s="6" t="s">
        <v>831</v>
      </c>
      <c r="D14" s="37" t="s">
        <v>863</v>
      </c>
      <c r="E14" s="6" t="s">
        <v>397</v>
      </c>
      <c r="F14" s="9">
        <f>0.7*10</f>
        <v>7</v>
      </c>
      <c r="I14" s="32"/>
      <c r="J14" s="80"/>
    </row>
    <row r="15" spans="2:10" ht="30" customHeight="1">
      <c r="B15" s="5">
        <v>0</v>
      </c>
      <c r="C15" s="6" t="s">
        <v>833</v>
      </c>
      <c r="D15" s="37" t="s">
        <v>864</v>
      </c>
      <c r="E15" s="6" t="s">
        <v>397</v>
      </c>
      <c r="F15" s="85">
        <f>0.65*10</f>
        <v>6.5</v>
      </c>
      <c r="I15" s="32"/>
      <c r="J15" s="80"/>
    </row>
    <row r="16" spans="2:10" ht="30" customHeight="1">
      <c r="B16" s="5" t="s">
        <v>835</v>
      </c>
      <c r="C16" s="6">
        <v>0</v>
      </c>
      <c r="D16" s="37">
        <v>10</v>
      </c>
      <c r="E16" s="6" t="s">
        <v>394</v>
      </c>
      <c r="F16" s="86">
        <f>10</f>
        <v>10</v>
      </c>
      <c r="I16" s="32"/>
      <c r="J16" s="80"/>
    </row>
    <row r="17" spans="2:10" ht="30" customHeight="1">
      <c r="B17" s="5"/>
      <c r="C17" s="6"/>
      <c r="D17" s="37"/>
      <c r="E17" s="6"/>
      <c r="F17" s="86"/>
      <c r="I17" s="32"/>
      <c r="J17" s="80"/>
    </row>
    <row r="18" spans="2:10" ht="30" customHeight="1">
      <c r="B18" s="5"/>
      <c r="C18" s="6"/>
      <c r="D18" s="37"/>
      <c r="E18" s="6"/>
      <c r="F18" s="11"/>
      <c r="I18" s="32"/>
      <c r="J18" s="80"/>
    </row>
    <row r="19" spans="2:10" ht="30" customHeight="1">
      <c r="B19" s="5"/>
      <c r="C19" s="6"/>
      <c r="D19" s="37"/>
      <c r="E19" s="6"/>
      <c r="F19" s="9"/>
      <c r="I19" s="32"/>
      <c r="J19" s="80"/>
    </row>
    <row r="20" spans="2:10" ht="30" customHeight="1">
      <c r="B20" s="5"/>
      <c r="C20" s="6"/>
      <c r="D20" s="10"/>
      <c r="E20" s="6"/>
      <c r="F20" s="60"/>
      <c r="I20" s="32"/>
      <c r="J20" s="80"/>
    </row>
    <row r="21" spans="2:10" ht="30" customHeight="1">
      <c r="B21" s="5"/>
      <c r="C21" s="6"/>
      <c r="D21" s="10"/>
      <c r="E21" s="6"/>
      <c r="F21" s="60"/>
      <c r="I21" s="32"/>
      <c r="J21" s="80"/>
    </row>
    <row r="22" spans="2:10" ht="30" customHeight="1">
      <c r="B22" s="5"/>
      <c r="C22" s="6"/>
      <c r="D22" s="10"/>
      <c r="E22" s="6"/>
      <c r="F22" s="87"/>
      <c r="I22" s="32"/>
      <c r="J22" s="80"/>
    </row>
    <row r="23" spans="2:10" ht="30" customHeight="1">
      <c r="B23" s="5"/>
      <c r="C23" s="6"/>
      <c r="D23" s="10"/>
      <c r="E23" s="6"/>
      <c r="F23" s="87"/>
      <c r="I23" s="32"/>
      <c r="J23" s="80"/>
    </row>
    <row r="24" spans="2:10" ht="30" customHeight="1">
      <c r="B24" s="5"/>
      <c r="C24" s="6"/>
      <c r="D24" s="10"/>
      <c r="E24" s="6"/>
      <c r="F24" s="60"/>
      <c r="I24" s="32"/>
      <c r="J24" s="80"/>
    </row>
    <row r="25" spans="2:10" ht="30" customHeight="1">
      <c r="B25" s="5"/>
      <c r="C25" s="6"/>
      <c r="D25" s="10"/>
      <c r="E25" s="6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12"/>
      <c r="E27" s="13"/>
      <c r="F27" s="9"/>
      <c r="I27" s="32"/>
      <c r="J27" s="80"/>
    </row>
    <row r="28" spans="2:10" ht="30" customHeight="1" thickBot="1">
      <c r="B28" s="43"/>
      <c r="C28" s="44"/>
      <c r="D28" s="45"/>
      <c r="E28" s="44"/>
      <c r="F28" s="46"/>
      <c r="I28" s="32"/>
      <c r="J28" s="80"/>
    </row>
    <row r="30" spans="9:10" ht="13.5">
      <c r="I30" s="2"/>
      <c r="J30" s="47"/>
    </row>
    <row r="31" spans="1:4" ht="13.5">
      <c r="A31" s="22"/>
      <c r="B31" s="22"/>
      <c r="C31" s="22"/>
      <c r="D31" s="22"/>
    </row>
    <row r="32" spans="1:4" ht="13.5">
      <c r="A32" s="22"/>
      <c r="B32" s="48"/>
      <c r="C32" s="48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9"/>
      <c r="D40" s="22"/>
    </row>
    <row r="41" spans="1:4" ht="13.5">
      <c r="A41" s="22"/>
      <c r="B41" s="50"/>
      <c r="C41" s="48"/>
      <c r="D41" s="22"/>
    </row>
    <row r="42" spans="1:4" ht="13.5">
      <c r="A42" s="22"/>
      <c r="B42" s="48"/>
      <c r="C42" s="49"/>
      <c r="D42" s="22"/>
    </row>
    <row r="43" spans="1:4" ht="13.5">
      <c r="A43" s="22"/>
      <c r="B43" s="22"/>
      <c r="C43" s="22"/>
      <c r="D43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J43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865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866</v>
      </c>
      <c r="E7" s="6" t="s">
        <v>97</v>
      </c>
      <c r="F7" s="36">
        <f>((0.216+1)*(0.216+1)+2.416*2.416)/2*1.2*10</f>
        <v>43.894271999999994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867</v>
      </c>
      <c r="E8" s="6" t="s">
        <v>97</v>
      </c>
      <c r="F8" s="34">
        <f>43.9-0.8</f>
        <v>43.1</v>
      </c>
      <c r="I8" s="32"/>
      <c r="J8" s="80"/>
    </row>
    <row r="9" spans="2:10" ht="60" customHeight="1">
      <c r="B9" s="5" t="s">
        <v>289</v>
      </c>
      <c r="C9" s="6">
        <v>0</v>
      </c>
      <c r="D9" s="3" t="s">
        <v>868</v>
      </c>
      <c r="E9" s="6" t="s">
        <v>97</v>
      </c>
      <c r="F9" s="36">
        <f>(0.3*0.3*0.1+0.49*0.49*0.1+0.39*0.39*0.05+0.135*0.135*3.14*0.19)*10+0.108*0.108*3.14*(1.1-0.34)*10</f>
        <v>0.7932300459999999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90</v>
      </c>
      <c r="E10" s="6" t="s">
        <v>393</v>
      </c>
      <c r="F10" s="36">
        <f>0.3*0.3*10</f>
        <v>0.8999999999999999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823</v>
      </c>
      <c r="E11" s="6" t="s">
        <v>393</v>
      </c>
      <c r="F11" s="9">
        <f>0.3*0.3*10+(0.49*0.49-0.108*0.108*3.14)*10</f>
        <v>2.9347504</v>
      </c>
      <c r="I11" s="32"/>
      <c r="J11" s="80"/>
    </row>
    <row r="12" spans="2:10" ht="30" customHeight="1">
      <c r="B12" s="5" t="s">
        <v>825</v>
      </c>
      <c r="C12" s="6">
        <v>0</v>
      </c>
      <c r="D12" s="76" t="s">
        <v>869</v>
      </c>
      <c r="E12" s="6">
        <v>0</v>
      </c>
      <c r="F12" s="40"/>
      <c r="I12" s="32"/>
      <c r="J12" s="80"/>
    </row>
    <row r="13" spans="2:10" ht="30" customHeight="1">
      <c r="B13" s="5" t="s">
        <v>828</v>
      </c>
      <c r="C13" s="6">
        <v>0</v>
      </c>
      <c r="D13" s="3" t="s">
        <v>829</v>
      </c>
      <c r="E13" s="6" t="s">
        <v>395</v>
      </c>
      <c r="F13" s="9">
        <v>10</v>
      </c>
      <c r="I13" s="32"/>
      <c r="J13" s="80"/>
    </row>
    <row r="14" spans="2:10" ht="30" customHeight="1">
      <c r="B14" s="5" t="s">
        <v>830</v>
      </c>
      <c r="C14" s="6" t="s">
        <v>831</v>
      </c>
      <c r="D14" s="37" t="s">
        <v>146</v>
      </c>
      <c r="E14" s="6" t="s">
        <v>397</v>
      </c>
      <c r="F14" s="9">
        <f>0.8*10</f>
        <v>8</v>
      </c>
      <c r="I14" s="32"/>
      <c r="J14" s="80"/>
    </row>
    <row r="15" spans="2:10" ht="30" customHeight="1">
      <c r="B15" s="5">
        <v>0</v>
      </c>
      <c r="C15" s="6" t="s">
        <v>833</v>
      </c>
      <c r="D15" s="37" t="s">
        <v>870</v>
      </c>
      <c r="E15" s="6" t="s">
        <v>397</v>
      </c>
      <c r="F15" s="85">
        <f>0.75*10</f>
        <v>7.5</v>
      </c>
      <c r="I15" s="32"/>
      <c r="J15" s="80"/>
    </row>
    <row r="16" spans="2:10" ht="30" customHeight="1">
      <c r="B16" s="5" t="s">
        <v>835</v>
      </c>
      <c r="C16" s="6">
        <v>0</v>
      </c>
      <c r="D16" s="37">
        <v>10</v>
      </c>
      <c r="E16" s="6" t="s">
        <v>394</v>
      </c>
      <c r="F16" s="86">
        <f>10</f>
        <v>10</v>
      </c>
      <c r="I16" s="32"/>
      <c r="J16" s="80"/>
    </row>
    <row r="17" spans="2:10" ht="30" customHeight="1">
      <c r="B17" s="5"/>
      <c r="C17" s="6"/>
      <c r="D17" s="37"/>
      <c r="E17" s="6"/>
      <c r="F17" s="86"/>
      <c r="I17" s="32"/>
      <c r="J17" s="80"/>
    </row>
    <row r="18" spans="2:10" ht="30" customHeight="1">
      <c r="B18" s="5"/>
      <c r="C18" s="6"/>
      <c r="D18" s="37"/>
      <c r="E18" s="6"/>
      <c r="F18" s="11"/>
      <c r="I18" s="32"/>
      <c r="J18" s="80"/>
    </row>
    <row r="19" spans="2:10" ht="30" customHeight="1">
      <c r="B19" s="5"/>
      <c r="C19" s="6"/>
      <c r="D19" s="37"/>
      <c r="E19" s="6"/>
      <c r="F19" s="9"/>
      <c r="I19" s="32"/>
      <c r="J19" s="80"/>
    </row>
    <row r="20" spans="2:10" ht="30" customHeight="1">
      <c r="B20" s="5"/>
      <c r="C20" s="6"/>
      <c r="D20" s="10"/>
      <c r="E20" s="6"/>
      <c r="F20" s="60"/>
      <c r="I20" s="32"/>
      <c r="J20" s="80"/>
    </row>
    <row r="21" spans="2:10" ht="30" customHeight="1">
      <c r="B21" s="5"/>
      <c r="C21" s="6"/>
      <c r="D21" s="10"/>
      <c r="E21" s="6"/>
      <c r="F21" s="60"/>
      <c r="I21" s="32"/>
      <c r="J21" s="80"/>
    </row>
    <row r="22" spans="2:10" ht="30" customHeight="1">
      <c r="B22" s="5"/>
      <c r="C22" s="6"/>
      <c r="D22" s="10"/>
      <c r="E22" s="6"/>
      <c r="F22" s="87"/>
      <c r="I22" s="32"/>
      <c r="J22" s="80"/>
    </row>
    <row r="23" spans="2:10" ht="30" customHeight="1">
      <c r="B23" s="5"/>
      <c r="C23" s="6"/>
      <c r="D23" s="10"/>
      <c r="E23" s="6"/>
      <c r="F23" s="87"/>
      <c r="I23" s="32"/>
      <c r="J23" s="80"/>
    </row>
    <row r="24" spans="2:10" ht="30" customHeight="1">
      <c r="B24" s="5"/>
      <c r="C24" s="6"/>
      <c r="D24" s="10"/>
      <c r="E24" s="6"/>
      <c r="F24" s="60"/>
      <c r="I24" s="32"/>
      <c r="J24" s="80"/>
    </row>
    <row r="25" spans="2:10" ht="30" customHeight="1">
      <c r="B25" s="5"/>
      <c r="C25" s="6"/>
      <c r="D25" s="10"/>
      <c r="E25" s="6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12"/>
      <c r="E27" s="13"/>
      <c r="F27" s="9"/>
      <c r="I27" s="32"/>
      <c r="J27" s="80"/>
    </row>
    <row r="28" spans="2:10" ht="30" customHeight="1" thickBot="1">
      <c r="B28" s="43"/>
      <c r="C28" s="44"/>
      <c r="D28" s="45"/>
      <c r="E28" s="44"/>
      <c r="F28" s="46"/>
      <c r="I28" s="32"/>
      <c r="J28" s="80"/>
    </row>
    <row r="30" spans="9:10" ht="13.5">
      <c r="I30" s="2"/>
      <c r="J30" s="47"/>
    </row>
    <row r="31" spans="1:4" ht="13.5">
      <c r="A31" s="22"/>
      <c r="B31" s="22"/>
      <c r="C31" s="22"/>
      <c r="D31" s="22"/>
    </row>
    <row r="32" spans="1:4" ht="13.5">
      <c r="A32" s="22"/>
      <c r="B32" s="48"/>
      <c r="C32" s="48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9"/>
      <c r="D40" s="22"/>
    </row>
    <row r="41" spans="1:4" ht="13.5">
      <c r="A41" s="22"/>
      <c r="B41" s="50"/>
      <c r="C41" s="48"/>
      <c r="D41" s="22"/>
    </row>
    <row r="42" spans="1:4" ht="13.5">
      <c r="A42" s="22"/>
      <c r="B42" s="48"/>
      <c r="C42" s="49"/>
      <c r="D42" s="22"/>
    </row>
    <row r="43" spans="1:4" ht="13.5">
      <c r="A43" s="22"/>
      <c r="B43" s="22"/>
      <c r="C43" s="22"/>
      <c r="D43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J43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871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872</v>
      </c>
      <c r="E7" s="6" t="s">
        <v>97</v>
      </c>
      <c r="F7" s="36">
        <f>((0.216+1)*(0.216+1)+2.516*2.516)/2*1.3*10</f>
        <v>50.75792800000001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873</v>
      </c>
      <c r="E8" s="6" t="s">
        <v>97</v>
      </c>
      <c r="F8" s="34">
        <f>50.8-0.8</f>
        <v>50</v>
      </c>
      <c r="I8" s="32"/>
      <c r="J8" s="80"/>
    </row>
    <row r="9" spans="2:10" ht="60" customHeight="1">
      <c r="B9" s="5" t="s">
        <v>289</v>
      </c>
      <c r="C9" s="6">
        <v>0</v>
      </c>
      <c r="D9" s="3" t="s">
        <v>874</v>
      </c>
      <c r="E9" s="6" t="s">
        <v>97</v>
      </c>
      <c r="F9" s="36">
        <f>(0.3*0.3*0.1+0.49*0.49*0.1+0.39*0.39*0.05+0.135*0.135*3.14*0.19)*10+0.108*0.108*3.14*(1.2-0.34)*10</f>
        <v>0.829855006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90</v>
      </c>
      <c r="E10" s="6" t="s">
        <v>393</v>
      </c>
      <c r="F10" s="36">
        <f>0.3*0.3*10</f>
        <v>0.8999999999999999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823</v>
      </c>
      <c r="E11" s="6" t="s">
        <v>393</v>
      </c>
      <c r="F11" s="9">
        <f>0.3*0.3*10+(0.49*0.49-0.108*0.108*3.14)*10</f>
        <v>2.9347504</v>
      </c>
      <c r="I11" s="32"/>
      <c r="J11" s="80"/>
    </row>
    <row r="12" spans="2:10" ht="30" customHeight="1">
      <c r="B12" s="5" t="s">
        <v>825</v>
      </c>
      <c r="C12" s="6">
        <v>0</v>
      </c>
      <c r="D12" s="76" t="s">
        <v>826</v>
      </c>
      <c r="E12" s="6">
        <v>0</v>
      </c>
      <c r="F12" s="40"/>
      <c r="I12" s="32"/>
      <c r="J12" s="80"/>
    </row>
    <row r="13" spans="2:10" ht="30" customHeight="1">
      <c r="B13" s="5" t="s">
        <v>828</v>
      </c>
      <c r="C13" s="6">
        <v>0</v>
      </c>
      <c r="D13" s="3" t="s">
        <v>829</v>
      </c>
      <c r="E13" s="6" t="s">
        <v>395</v>
      </c>
      <c r="F13" s="9">
        <v>10</v>
      </c>
      <c r="I13" s="32"/>
      <c r="J13" s="80"/>
    </row>
    <row r="14" spans="2:10" ht="30" customHeight="1">
      <c r="B14" s="5" t="s">
        <v>830</v>
      </c>
      <c r="C14" s="6" t="s">
        <v>831</v>
      </c>
      <c r="D14" s="37" t="s">
        <v>7</v>
      </c>
      <c r="E14" s="6" t="s">
        <v>397</v>
      </c>
      <c r="F14" s="9">
        <f>0.9*10</f>
        <v>9</v>
      </c>
      <c r="I14" s="32"/>
      <c r="J14" s="80"/>
    </row>
    <row r="15" spans="2:10" ht="30" customHeight="1">
      <c r="B15" s="5">
        <v>0</v>
      </c>
      <c r="C15" s="6" t="s">
        <v>833</v>
      </c>
      <c r="D15" s="37" t="s">
        <v>875</v>
      </c>
      <c r="E15" s="6" t="s">
        <v>397</v>
      </c>
      <c r="F15" s="85">
        <f>0.85*10</f>
        <v>8.5</v>
      </c>
      <c r="I15" s="32"/>
      <c r="J15" s="80"/>
    </row>
    <row r="16" spans="2:10" ht="30" customHeight="1">
      <c r="B16" s="5" t="s">
        <v>835</v>
      </c>
      <c r="C16" s="6">
        <v>0</v>
      </c>
      <c r="D16" s="37">
        <v>10</v>
      </c>
      <c r="E16" s="6" t="s">
        <v>394</v>
      </c>
      <c r="F16" s="86">
        <f>10</f>
        <v>10</v>
      </c>
      <c r="I16" s="32"/>
      <c r="J16" s="80"/>
    </row>
    <row r="17" spans="2:10" ht="30" customHeight="1">
      <c r="B17" s="5"/>
      <c r="C17" s="6"/>
      <c r="D17" s="37"/>
      <c r="E17" s="6"/>
      <c r="F17" s="86"/>
      <c r="I17" s="32"/>
      <c r="J17" s="80"/>
    </row>
    <row r="18" spans="2:10" ht="30" customHeight="1">
      <c r="B18" s="5"/>
      <c r="C18" s="6"/>
      <c r="D18" s="37"/>
      <c r="E18" s="6"/>
      <c r="F18" s="11"/>
      <c r="I18" s="32"/>
      <c r="J18" s="80"/>
    </row>
    <row r="19" spans="2:10" ht="30" customHeight="1">
      <c r="B19" s="5"/>
      <c r="C19" s="6"/>
      <c r="D19" s="37"/>
      <c r="E19" s="6"/>
      <c r="F19" s="9"/>
      <c r="I19" s="32"/>
      <c r="J19" s="80"/>
    </row>
    <row r="20" spans="2:10" ht="30" customHeight="1">
      <c r="B20" s="5"/>
      <c r="C20" s="6"/>
      <c r="D20" s="10"/>
      <c r="E20" s="6"/>
      <c r="F20" s="60"/>
      <c r="I20" s="32"/>
      <c r="J20" s="80"/>
    </row>
    <row r="21" spans="2:10" ht="30" customHeight="1">
      <c r="B21" s="5"/>
      <c r="C21" s="6"/>
      <c r="D21" s="10"/>
      <c r="E21" s="6"/>
      <c r="F21" s="60"/>
      <c r="I21" s="32"/>
      <c r="J21" s="80"/>
    </row>
    <row r="22" spans="2:10" ht="30" customHeight="1">
      <c r="B22" s="5"/>
      <c r="C22" s="6"/>
      <c r="D22" s="10"/>
      <c r="E22" s="6"/>
      <c r="F22" s="87"/>
      <c r="I22" s="32"/>
      <c r="J22" s="80"/>
    </row>
    <row r="23" spans="2:10" ht="30" customHeight="1">
      <c r="B23" s="5"/>
      <c r="C23" s="6"/>
      <c r="D23" s="10"/>
      <c r="E23" s="6"/>
      <c r="F23" s="87"/>
      <c r="I23" s="32"/>
      <c r="J23" s="80"/>
    </row>
    <row r="24" spans="2:10" ht="30" customHeight="1">
      <c r="B24" s="5"/>
      <c r="C24" s="6"/>
      <c r="D24" s="10"/>
      <c r="E24" s="6"/>
      <c r="F24" s="60"/>
      <c r="I24" s="32"/>
      <c r="J24" s="80"/>
    </row>
    <row r="25" spans="2:10" ht="30" customHeight="1">
      <c r="B25" s="5"/>
      <c r="C25" s="6"/>
      <c r="D25" s="10"/>
      <c r="E25" s="6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12"/>
      <c r="E27" s="13"/>
      <c r="F27" s="9"/>
      <c r="I27" s="32"/>
      <c r="J27" s="80"/>
    </row>
    <row r="28" spans="2:10" ht="30" customHeight="1" thickBot="1">
      <c r="B28" s="43"/>
      <c r="C28" s="44"/>
      <c r="D28" s="45"/>
      <c r="E28" s="44"/>
      <c r="F28" s="46"/>
      <c r="I28" s="32"/>
      <c r="J28" s="80"/>
    </row>
    <row r="30" spans="9:10" ht="13.5">
      <c r="I30" s="2"/>
      <c r="J30" s="47"/>
    </row>
    <row r="31" spans="1:4" ht="13.5">
      <c r="A31" s="22"/>
      <c r="B31" s="22"/>
      <c r="C31" s="22"/>
      <c r="D31" s="22"/>
    </row>
    <row r="32" spans="1:4" ht="13.5">
      <c r="A32" s="22"/>
      <c r="B32" s="48"/>
      <c r="C32" s="48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9"/>
      <c r="D40" s="22"/>
    </row>
    <row r="41" spans="1:4" ht="13.5">
      <c r="A41" s="22"/>
      <c r="B41" s="50"/>
      <c r="C41" s="48"/>
      <c r="D41" s="22"/>
    </row>
    <row r="42" spans="1:4" ht="13.5">
      <c r="A42" s="22"/>
      <c r="B42" s="48"/>
      <c r="C42" s="49"/>
      <c r="D42" s="22"/>
    </row>
    <row r="43" spans="1:4" ht="13.5">
      <c r="A43" s="22"/>
      <c r="B43" s="22"/>
      <c r="C43" s="22"/>
      <c r="D43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4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876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877</v>
      </c>
      <c r="E7" s="6" t="s">
        <v>97</v>
      </c>
      <c r="F7" s="36">
        <f>(0.6+0.4)*(0.6+0.4)*0.7*10</f>
        <v>7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878</v>
      </c>
      <c r="E8" s="6" t="s">
        <v>97</v>
      </c>
      <c r="F8" s="34">
        <f>7-2.7</f>
        <v>4.3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879</v>
      </c>
      <c r="E9" s="6" t="s">
        <v>97</v>
      </c>
      <c r="F9" s="36">
        <f>(0.7*0.7*0.1+0.6*0.6*0.6)*10</f>
        <v>2.6500000000000004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880</v>
      </c>
      <c r="E10" s="6" t="s">
        <v>393</v>
      </c>
      <c r="F10" s="36">
        <f>0.7*0.7*10</f>
        <v>4.8999999999999995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880</v>
      </c>
      <c r="E11" s="6" t="s">
        <v>393</v>
      </c>
      <c r="F11" s="9">
        <f>0.7*0.7*10</f>
        <v>4.8999999999999995</v>
      </c>
      <c r="I11" s="32"/>
      <c r="J11" s="75"/>
    </row>
    <row r="12" spans="2:10" ht="30" customHeight="1">
      <c r="B12" s="5" t="s">
        <v>881</v>
      </c>
      <c r="C12" s="6" t="s">
        <v>882</v>
      </c>
      <c r="D12" s="76">
        <v>10</v>
      </c>
      <c r="E12" s="6" t="s">
        <v>602</v>
      </c>
      <c r="F12" s="40">
        <f>10</f>
        <v>10</v>
      </c>
      <c r="I12" s="32"/>
      <c r="J12" s="75"/>
    </row>
    <row r="13" spans="2:10" ht="30" customHeight="1">
      <c r="B13" s="5" t="s">
        <v>294</v>
      </c>
      <c r="C13" s="6" t="s">
        <v>295</v>
      </c>
      <c r="D13" s="3"/>
      <c r="E13" s="6"/>
      <c r="F13" s="9"/>
      <c r="I13" s="32"/>
      <c r="J13" s="75"/>
    </row>
    <row r="14" spans="2:10" ht="30" customHeight="1">
      <c r="B14" s="5"/>
      <c r="C14" s="6" t="s">
        <v>883</v>
      </c>
      <c r="D14" s="37" t="s">
        <v>884</v>
      </c>
      <c r="E14" s="6" t="s">
        <v>97</v>
      </c>
      <c r="F14" s="9">
        <f>(0.6*0.6*0.6-0.3*0.3*0.43-0.4*0.4*0.02)*10</f>
        <v>1.741</v>
      </c>
      <c r="I14" s="32"/>
      <c r="J14" s="75"/>
    </row>
    <row r="15" spans="2:10" ht="30" customHeight="1">
      <c r="B15" s="5"/>
      <c r="C15" s="6" t="s">
        <v>885</v>
      </c>
      <c r="D15" s="37" t="s">
        <v>886</v>
      </c>
      <c r="E15" s="6" t="s">
        <v>97</v>
      </c>
      <c r="F15" s="85">
        <f>(0.6*0.6*0.6-0.3*0.3*0.427-0.414*0.414*0.023)*10</f>
        <v>1.7362789200000002</v>
      </c>
      <c r="I15" s="32"/>
      <c r="J15" s="75"/>
    </row>
    <row r="16" spans="2:10" ht="30" customHeight="1">
      <c r="B16" s="5"/>
      <c r="C16" s="6" t="s">
        <v>887</v>
      </c>
      <c r="D16" s="37" t="s">
        <v>888</v>
      </c>
      <c r="E16" s="6" t="s">
        <v>97</v>
      </c>
      <c r="F16" s="86">
        <f>(0.6*0.6*0.6-0.3*0.3*0.412-0.42*0.42*0.038)*10</f>
        <v>1.722168</v>
      </c>
      <c r="I16" s="32"/>
      <c r="J16" s="75"/>
    </row>
    <row r="17" spans="2:10" ht="30" customHeight="1">
      <c r="B17" s="5"/>
      <c r="C17" s="6" t="s">
        <v>889</v>
      </c>
      <c r="D17" s="37" t="s">
        <v>890</v>
      </c>
      <c r="E17" s="6" t="s">
        <v>97</v>
      </c>
      <c r="F17" s="86">
        <f>(0.6*0.6*0.6-0.3*0.3*0.419-0.42*0.42*0.031)*10</f>
        <v>1.728216</v>
      </c>
      <c r="I17" s="32"/>
      <c r="J17" s="75"/>
    </row>
    <row r="18" spans="2:10" ht="30" customHeight="1">
      <c r="B18" s="5"/>
      <c r="C18" s="6" t="s">
        <v>891</v>
      </c>
      <c r="D18" s="37" t="s">
        <v>892</v>
      </c>
      <c r="E18" s="6" t="s">
        <v>97</v>
      </c>
      <c r="F18" s="11">
        <f>(0.6*0.6*0.6-0.3*0.3*0.406-0.42*0.42*0.044)*10</f>
        <v>1.716984</v>
      </c>
      <c r="I18" s="32"/>
      <c r="J18" s="75"/>
    </row>
    <row r="19" spans="2:10" ht="30" customHeight="1">
      <c r="B19" s="5" t="s">
        <v>320</v>
      </c>
      <c r="C19" s="6">
        <v>0</v>
      </c>
      <c r="D19" s="37"/>
      <c r="E19" s="6"/>
      <c r="F19" s="9"/>
      <c r="I19" s="32"/>
      <c r="J19" s="75"/>
    </row>
    <row r="20" spans="2:10" ht="30" customHeight="1">
      <c r="B20" s="5">
        <v>0</v>
      </c>
      <c r="C20" s="6" t="s">
        <v>883</v>
      </c>
      <c r="D20" s="10" t="s">
        <v>893</v>
      </c>
      <c r="E20" s="6" t="s">
        <v>97</v>
      </c>
      <c r="F20" s="60">
        <f>(0.6*0.6*4+0.3*0.43*4)*10</f>
        <v>19.56</v>
      </c>
      <c r="I20" s="32"/>
      <c r="J20" s="75"/>
    </row>
    <row r="21" spans="2:10" ht="30" customHeight="1">
      <c r="B21" s="5">
        <v>0</v>
      </c>
      <c r="C21" s="6" t="s">
        <v>885</v>
      </c>
      <c r="D21" s="10" t="s">
        <v>894</v>
      </c>
      <c r="E21" s="6" t="s">
        <v>97</v>
      </c>
      <c r="F21" s="60">
        <f>(0.6*0.6*4+0.3*0.427*4)*10</f>
        <v>19.524</v>
      </c>
      <c r="I21" s="32"/>
      <c r="J21" s="75"/>
    </row>
    <row r="22" spans="2:10" ht="30" customHeight="1">
      <c r="B22" s="5">
        <v>0</v>
      </c>
      <c r="C22" s="6" t="s">
        <v>887</v>
      </c>
      <c r="D22" s="10" t="s">
        <v>895</v>
      </c>
      <c r="E22" s="6" t="s">
        <v>97</v>
      </c>
      <c r="F22" s="87">
        <f>(0.6*0.6*4+0.3*0.412*4)*10</f>
        <v>19.343999999999998</v>
      </c>
      <c r="I22" s="32"/>
      <c r="J22" s="75"/>
    </row>
    <row r="23" spans="2:10" ht="30" customHeight="1">
      <c r="B23" s="5">
        <v>0</v>
      </c>
      <c r="C23" s="6" t="s">
        <v>889</v>
      </c>
      <c r="D23" s="10" t="s">
        <v>896</v>
      </c>
      <c r="E23" s="6" t="s">
        <v>97</v>
      </c>
      <c r="F23" s="87">
        <f>(0.6*0.6*4+0.3*0.419*4)*10</f>
        <v>19.427999999999997</v>
      </c>
      <c r="I23" s="32"/>
      <c r="J23" s="75"/>
    </row>
    <row r="24" spans="2:10" ht="30" customHeight="1">
      <c r="B24" s="5">
        <v>0</v>
      </c>
      <c r="C24" s="6" t="s">
        <v>891</v>
      </c>
      <c r="D24" s="10" t="s">
        <v>897</v>
      </c>
      <c r="E24" s="6" t="s">
        <v>97</v>
      </c>
      <c r="F24" s="60">
        <f>(0.6*0.6*4+0.3*0.406*4)*10</f>
        <v>19.272</v>
      </c>
      <c r="I24" s="32"/>
      <c r="J24" s="75"/>
    </row>
    <row r="25" spans="2:10" ht="30" customHeight="1">
      <c r="B25" s="5"/>
      <c r="C25" s="6"/>
      <c r="D25" s="10"/>
      <c r="E25" s="6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898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899</v>
      </c>
      <c r="E7" s="6" t="s">
        <v>97</v>
      </c>
      <c r="F7" s="36">
        <f>(0.6+1)*(0.6+1)*0.8*10</f>
        <v>20.480000000000004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900</v>
      </c>
      <c r="E8" s="6" t="s">
        <v>97</v>
      </c>
      <c r="F8" s="34">
        <f>20.5-3</f>
        <v>17.5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901</v>
      </c>
      <c r="E9" s="6" t="s">
        <v>97</v>
      </c>
      <c r="F9" s="36">
        <f>(0.7*0.7*0.1+0.6*0.6*0.7)*10</f>
        <v>3.01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880</v>
      </c>
      <c r="E10" s="6" t="s">
        <v>393</v>
      </c>
      <c r="F10" s="36">
        <f>0.7*0.7*10</f>
        <v>4.8999999999999995</v>
      </c>
      <c r="I10" s="32"/>
      <c r="J10" s="75"/>
    </row>
    <row r="11" spans="2:10" ht="30" customHeight="1">
      <c r="B11" s="5" t="s">
        <v>291</v>
      </c>
      <c r="C11" s="6" t="s">
        <v>292</v>
      </c>
      <c r="D11" s="3" t="s">
        <v>880</v>
      </c>
      <c r="E11" s="6" t="s">
        <v>393</v>
      </c>
      <c r="F11" s="9">
        <f>0.7*0.7*10</f>
        <v>4.8999999999999995</v>
      </c>
      <c r="I11" s="32"/>
      <c r="J11" s="75"/>
    </row>
    <row r="12" spans="2:10" ht="30" customHeight="1">
      <c r="B12" s="5" t="s">
        <v>881</v>
      </c>
      <c r="C12" s="6" t="s">
        <v>882</v>
      </c>
      <c r="D12" s="76">
        <v>10</v>
      </c>
      <c r="E12" s="6" t="s">
        <v>602</v>
      </c>
      <c r="F12" s="40">
        <f>10</f>
        <v>10</v>
      </c>
      <c r="I12" s="32"/>
      <c r="J12" s="75"/>
    </row>
    <row r="13" spans="2:10" ht="30" customHeight="1">
      <c r="B13" s="5" t="s">
        <v>294</v>
      </c>
      <c r="C13" s="6" t="s">
        <v>295</v>
      </c>
      <c r="D13" s="3"/>
      <c r="E13" s="6"/>
      <c r="F13" s="9"/>
      <c r="I13" s="32"/>
      <c r="J13" s="75"/>
    </row>
    <row r="14" spans="2:10" ht="30" customHeight="1">
      <c r="B14" s="5"/>
      <c r="C14" s="6" t="s">
        <v>883</v>
      </c>
      <c r="D14" s="37" t="s">
        <v>902</v>
      </c>
      <c r="E14" s="6" t="s">
        <v>97</v>
      </c>
      <c r="F14" s="9">
        <f>(0.6*0.6*0.7-0.3*0.3*0.53-0.4*0.4*0.02)*10</f>
        <v>2.011</v>
      </c>
      <c r="I14" s="32"/>
      <c r="J14" s="75"/>
    </row>
    <row r="15" spans="2:10" ht="30" customHeight="1">
      <c r="B15" s="5"/>
      <c r="C15" s="6" t="s">
        <v>885</v>
      </c>
      <c r="D15" s="37" t="s">
        <v>903</v>
      </c>
      <c r="E15" s="6" t="s">
        <v>97</v>
      </c>
      <c r="F15" s="85">
        <f>(0.6*0.6*0.7-0.3*0.3*0.527-0.414*0.414*0.023)*10</f>
        <v>2.00627892</v>
      </c>
      <c r="I15" s="32"/>
      <c r="J15" s="75"/>
    </row>
    <row r="16" spans="2:10" ht="30" customHeight="1">
      <c r="B16" s="5"/>
      <c r="C16" s="6" t="s">
        <v>887</v>
      </c>
      <c r="D16" s="37" t="s">
        <v>904</v>
      </c>
      <c r="E16" s="6" t="s">
        <v>97</v>
      </c>
      <c r="F16" s="86">
        <f>(0.6*0.6*0.7-0.3*0.3*0.512-0.42*0.42*0.038)*10</f>
        <v>1.992168</v>
      </c>
      <c r="I16" s="32"/>
      <c r="J16" s="75"/>
    </row>
    <row r="17" spans="2:10" ht="30" customHeight="1">
      <c r="B17" s="5"/>
      <c r="C17" s="6" t="s">
        <v>889</v>
      </c>
      <c r="D17" s="37" t="s">
        <v>905</v>
      </c>
      <c r="E17" s="6" t="s">
        <v>97</v>
      </c>
      <c r="F17" s="86">
        <f>(0.6*0.6*0.7-0.3*0.3*0.519-0.42*0.42*0.031)*10</f>
        <v>1.9982159999999998</v>
      </c>
      <c r="I17" s="32"/>
      <c r="J17" s="75"/>
    </row>
    <row r="18" spans="2:10" ht="30" customHeight="1">
      <c r="B18" s="5"/>
      <c r="C18" s="6" t="s">
        <v>891</v>
      </c>
      <c r="D18" s="37" t="s">
        <v>906</v>
      </c>
      <c r="E18" s="6" t="s">
        <v>97</v>
      </c>
      <c r="F18" s="11">
        <f>(0.6*0.6*0.7-0.3*0.3*0.506-0.42*0.42*0.044)*10</f>
        <v>1.986984</v>
      </c>
      <c r="I18" s="32"/>
      <c r="J18" s="75"/>
    </row>
    <row r="19" spans="2:10" ht="30" customHeight="1">
      <c r="B19" s="5" t="s">
        <v>320</v>
      </c>
      <c r="C19" s="6">
        <v>0</v>
      </c>
      <c r="D19" s="37"/>
      <c r="E19" s="6"/>
      <c r="F19" s="9"/>
      <c r="I19" s="32"/>
      <c r="J19" s="75"/>
    </row>
    <row r="20" spans="2:10" ht="30" customHeight="1">
      <c r="B20" s="5">
        <v>0</v>
      </c>
      <c r="C20" s="6" t="s">
        <v>883</v>
      </c>
      <c r="D20" s="10" t="s">
        <v>907</v>
      </c>
      <c r="E20" s="6" t="s">
        <v>97</v>
      </c>
      <c r="F20" s="60">
        <f>(0.6*0.7*4+0.3*0.53*4)*10</f>
        <v>23.159999999999997</v>
      </c>
      <c r="I20" s="32"/>
      <c r="J20" s="75"/>
    </row>
    <row r="21" spans="2:10" ht="30" customHeight="1">
      <c r="B21" s="5">
        <v>0</v>
      </c>
      <c r="C21" s="6" t="s">
        <v>885</v>
      </c>
      <c r="D21" s="10" t="s">
        <v>908</v>
      </c>
      <c r="E21" s="6" t="s">
        <v>97</v>
      </c>
      <c r="F21" s="60">
        <f>(0.6*0.7*4+0.3*0.527*4)*10</f>
        <v>23.124</v>
      </c>
      <c r="I21" s="32"/>
      <c r="J21" s="75"/>
    </row>
    <row r="22" spans="2:10" ht="30" customHeight="1">
      <c r="B22" s="5">
        <v>0</v>
      </c>
      <c r="C22" s="6" t="s">
        <v>887</v>
      </c>
      <c r="D22" s="10" t="s">
        <v>909</v>
      </c>
      <c r="E22" s="6" t="s">
        <v>97</v>
      </c>
      <c r="F22" s="87">
        <f>(0.6*0.7*4+0.3*0.512*4)*10</f>
        <v>22.944</v>
      </c>
      <c r="I22" s="32"/>
      <c r="J22" s="75"/>
    </row>
    <row r="23" spans="2:10" ht="30" customHeight="1">
      <c r="B23" s="5">
        <v>0</v>
      </c>
      <c r="C23" s="6" t="s">
        <v>889</v>
      </c>
      <c r="D23" s="10" t="s">
        <v>910</v>
      </c>
      <c r="E23" s="6" t="s">
        <v>97</v>
      </c>
      <c r="F23" s="87">
        <f>(0.6*0.7*4+0.3*0.519*4)*10</f>
        <v>23.028</v>
      </c>
      <c r="I23" s="32"/>
      <c r="J23" s="75"/>
    </row>
    <row r="24" spans="2:10" ht="30" customHeight="1">
      <c r="B24" s="5">
        <v>0</v>
      </c>
      <c r="C24" s="6" t="s">
        <v>891</v>
      </c>
      <c r="D24" s="10" t="s">
        <v>911</v>
      </c>
      <c r="E24" s="6" t="s">
        <v>97</v>
      </c>
      <c r="F24" s="60">
        <f>(0.6*0.7*4+0.3*0.506*4)*10</f>
        <v>22.872</v>
      </c>
      <c r="I24" s="32"/>
      <c r="J24" s="75"/>
    </row>
    <row r="25" spans="2:10" ht="30" customHeight="1">
      <c r="B25" s="5"/>
      <c r="C25" s="6"/>
      <c r="D25" s="37"/>
      <c r="E25" s="6"/>
      <c r="F25" s="9"/>
      <c r="I25" s="32"/>
      <c r="J25" s="75"/>
    </row>
    <row r="26" spans="2:10" ht="30" customHeight="1">
      <c r="B26" s="5"/>
      <c r="C26" s="6"/>
      <c r="D26" s="10"/>
      <c r="E26" s="13"/>
      <c r="F26" s="55"/>
      <c r="I26" s="32"/>
      <c r="J26" s="75"/>
    </row>
    <row r="27" spans="2:10" ht="30" customHeight="1">
      <c r="B27" s="5"/>
      <c r="C27" s="6"/>
      <c r="D27" s="10"/>
      <c r="E27" s="13"/>
      <c r="F27" s="11"/>
      <c r="I27" s="32"/>
      <c r="J27" s="75"/>
    </row>
    <row r="28" spans="2:10" ht="30" customHeight="1">
      <c r="B28" s="5"/>
      <c r="C28" s="6"/>
      <c r="D28" s="37"/>
      <c r="E28" s="13"/>
      <c r="F28" s="36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10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197</v>
      </c>
      <c r="C3" s="20"/>
      <c r="D3" s="21"/>
      <c r="E3" s="22"/>
      <c r="F3" s="23"/>
    </row>
    <row r="4" spans="2:6" ht="30" customHeight="1">
      <c r="B4" s="90" t="s">
        <v>215</v>
      </c>
      <c r="C4" s="92"/>
      <c r="D4" s="92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7" t="s">
        <v>115</v>
      </c>
      <c r="E7" s="6" t="s">
        <v>97</v>
      </c>
      <c r="F7" s="36">
        <f>(0.25+0.4)*(0.25+0.4)*0.58*10</f>
        <v>2.4505000000000003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116</v>
      </c>
      <c r="E8" s="6" t="s">
        <v>97</v>
      </c>
      <c r="F8" s="36">
        <f>2.5-0.4</f>
        <v>2.1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172</v>
      </c>
      <c r="E9" s="6" t="s">
        <v>97</v>
      </c>
      <c r="F9" s="36">
        <f>(0.35*0.35*0.1+0.25*0.25*0.48)*10</f>
        <v>0.4225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96</v>
      </c>
      <c r="E10" s="6" t="s">
        <v>393</v>
      </c>
      <c r="F10" s="36">
        <f>0.35*0.35*10</f>
        <v>1.2249999999999999</v>
      </c>
      <c r="I10" s="32"/>
      <c r="J10" s="33"/>
    </row>
    <row r="11" spans="2:10" ht="30" customHeight="1">
      <c r="B11" s="5" t="s">
        <v>291</v>
      </c>
      <c r="C11" s="6" t="s">
        <v>292</v>
      </c>
      <c r="D11" s="3" t="s">
        <v>96</v>
      </c>
      <c r="E11" s="6" t="s">
        <v>393</v>
      </c>
      <c r="F11" s="9">
        <f>0.35*0.35*10</f>
        <v>1.2249999999999999</v>
      </c>
      <c r="I11" s="32"/>
      <c r="J11" s="33"/>
    </row>
    <row r="12" spans="2:10" ht="30" customHeight="1">
      <c r="B12" s="5" t="s">
        <v>301</v>
      </c>
      <c r="C12" s="6" t="s">
        <v>302</v>
      </c>
      <c r="D12" s="37" t="s">
        <v>161</v>
      </c>
      <c r="E12" s="6" t="s">
        <v>97</v>
      </c>
      <c r="F12" s="38">
        <f>0.25*0.25*0.03*10</f>
        <v>0.01875</v>
      </c>
      <c r="I12" s="32"/>
      <c r="J12" s="33"/>
    </row>
    <row r="13" spans="2:10" ht="30" customHeight="1">
      <c r="B13" s="42" t="s">
        <v>330</v>
      </c>
      <c r="C13" s="13" t="s">
        <v>356</v>
      </c>
      <c r="D13" s="37">
        <v>10</v>
      </c>
      <c r="E13" s="13" t="s">
        <v>395</v>
      </c>
      <c r="F13" s="72">
        <f>10</f>
        <v>10</v>
      </c>
      <c r="I13" s="32"/>
      <c r="J13" s="33"/>
    </row>
    <row r="14" spans="1:6" ht="39.75" customHeight="1">
      <c r="A14" s="18"/>
      <c r="B14" s="63" t="s">
        <v>88</v>
      </c>
      <c r="C14" s="64"/>
      <c r="D14" s="65"/>
      <c r="E14" s="66"/>
      <c r="F14" s="67"/>
    </row>
    <row r="15" spans="2:6" ht="30" customHeight="1">
      <c r="B15" s="90" t="s">
        <v>215</v>
      </c>
      <c r="C15" s="92"/>
      <c r="D15" s="92"/>
      <c r="E15" s="7">
        <v>10</v>
      </c>
      <c r="F15" s="8" t="s">
        <v>162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10" t="s">
        <v>89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321</v>
      </c>
      <c r="C20" s="6" t="s">
        <v>297</v>
      </c>
      <c r="D20" s="12"/>
      <c r="E20" s="13"/>
      <c r="F20" s="9"/>
      <c r="I20" s="32"/>
      <c r="J20" s="33"/>
    </row>
    <row r="21" spans="2:10" ht="30" customHeight="1">
      <c r="B21" s="5" t="s">
        <v>357</v>
      </c>
      <c r="C21" s="6" t="s">
        <v>339</v>
      </c>
      <c r="D21" s="3" t="s">
        <v>0</v>
      </c>
      <c r="E21" s="6" t="s">
        <v>97</v>
      </c>
      <c r="F21" s="38">
        <f>((0.13*0.13+0.1*0.1)/2*0.45-0.0508*0.0508*3.14/4*0.3)*5</f>
        <v>0.027223796400000007</v>
      </c>
      <c r="I21" s="32"/>
      <c r="J21" s="33"/>
    </row>
    <row r="22" spans="2:10" ht="30" customHeight="1">
      <c r="B22" s="5" t="s">
        <v>358</v>
      </c>
      <c r="C22" s="6" t="s">
        <v>339</v>
      </c>
      <c r="D22" s="3" t="s">
        <v>0</v>
      </c>
      <c r="E22" s="6" t="s">
        <v>97</v>
      </c>
      <c r="F22" s="38">
        <f>((0.13*0.13+0.1*0.1)/2*0.45-0.0508*0.0508*3.14/4*0.3)*5</f>
        <v>0.027223796400000007</v>
      </c>
      <c r="I22" s="32"/>
      <c r="J22" s="33"/>
    </row>
    <row r="23" spans="2:10" ht="30" customHeight="1">
      <c r="B23" s="5" t="s">
        <v>359</v>
      </c>
      <c r="C23" s="6" t="s">
        <v>339</v>
      </c>
      <c r="D23" s="3" t="s">
        <v>0</v>
      </c>
      <c r="E23" s="6" t="s">
        <v>97</v>
      </c>
      <c r="F23" s="38">
        <f>((0.13*0.13+0.1*0.1)/2*0.45-0.0508*0.0508*3.14/4*0.3)*5</f>
        <v>0.027223796400000007</v>
      </c>
      <c r="I23" s="32"/>
      <c r="J23" s="33"/>
    </row>
    <row r="24" spans="2:10" ht="30" customHeight="1">
      <c r="B24" s="5" t="s">
        <v>360</v>
      </c>
      <c r="C24" s="6" t="s">
        <v>339</v>
      </c>
      <c r="D24" s="3" t="s">
        <v>224</v>
      </c>
      <c r="E24" s="6" t="s">
        <v>97</v>
      </c>
      <c r="F24" s="38">
        <f>((0.13*0.13+0.1*0.1)/2*0.45-0.0508*0.0508*3.14/4*0.3)*5</f>
        <v>0.027223796400000007</v>
      </c>
      <c r="I24" s="32"/>
      <c r="J24" s="33"/>
    </row>
    <row r="25" spans="2:10" ht="30" customHeight="1">
      <c r="B25" s="5" t="s">
        <v>361</v>
      </c>
      <c r="C25" s="6" t="s">
        <v>339</v>
      </c>
      <c r="D25" s="3" t="s">
        <v>224</v>
      </c>
      <c r="E25" s="6" t="s">
        <v>97</v>
      </c>
      <c r="F25" s="38">
        <f>((0.13*0.13+0.1*0.1)/2*0.45-0.0508*0.0508*3.14/4*0.3)*5</f>
        <v>0.027223796400000007</v>
      </c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SUM(J9:J32)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mergeCells count="2">
    <mergeCell ref="B4:D4"/>
    <mergeCell ref="B15:D15"/>
  </mergeCells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J45"/>
  <sheetViews>
    <sheetView showZeros="0" workbookViewId="0" topLeftCell="A10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912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913</v>
      </c>
      <c r="E7" s="6" t="s">
        <v>97</v>
      </c>
      <c r="F7" s="36">
        <f>(0.7+1)*(0.7+1)*0.9*10</f>
        <v>26.009999999999998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914</v>
      </c>
      <c r="E8" s="6" t="s">
        <v>97</v>
      </c>
      <c r="F8" s="34">
        <f>26-4.6</f>
        <v>21.4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915</v>
      </c>
      <c r="E9" s="6" t="s">
        <v>97</v>
      </c>
      <c r="F9" s="36">
        <f>(0.8*0.8*0.1+0.7*0.7*0.8)*10</f>
        <v>4.56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916</v>
      </c>
      <c r="E10" s="6" t="s">
        <v>393</v>
      </c>
      <c r="F10" s="36">
        <f>0.8*0.8*10</f>
        <v>6.400000000000001</v>
      </c>
      <c r="I10" s="32"/>
      <c r="J10" s="75"/>
    </row>
    <row r="11" spans="2:10" ht="30" customHeight="1">
      <c r="B11" s="5" t="s">
        <v>291</v>
      </c>
      <c r="C11" s="6" t="s">
        <v>292</v>
      </c>
      <c r="D11" s="3" t="s">
        <v>916</v>
      </c>
      <c r="E11" s="6" t="s">
        <v>393</v>
      </c>
      <c r="F11" s="9">
        <f>0.8*0.8*10</f>
        <v>6.400000000000001</v>
      </c>
      <c r="I11" s="32"/>
      <c r="J11" s="75"/>
    </row>
    <row r="12" spans="2:10" ht="30" customHeight="1">
      <c r="B12" s="5" t="s">
        <v>881</v>
      </c>
      <c r="C12" s="6" t="s">
        <v>882</v>
      </c>
      <c r="D12" s="76">
        <v>10</v>
      </c>
      <c r="E12" s="6" t="s">
        <v>602</v>
      </c>
      <c r="F12" s="40">
        <f>10</f>
        <v>10</v>
      </c>
      <c r="I12" s="32"/>
      <c r="J12" s="75"/>
    </row>
    <row r="13" spans="2:10" ht="30" customHeight="1">
      <c r="B13" s="5" t="s">
        <v>294</v>
      </c>
      <c r="C13" s="6" t="s">
        <v>295</v>
      </c>
      <c r="D13" s="3"/>
      <c r="E13" s="6"/>
      <c r="F13" s="9"/>
      <c r="I13" s="32"/>
      <c r="J13" s="75"/>
    </row>
    <row r="14" spans="2:10" ht="30" customHeight="1">
      <c r="B14" s="5"/>
      <c r="C14" s="6" t="s">
        <v>917</v>
      </c>
      <c r="D14" s="37" t="s">
        <v>918</v>
      </c>
      <c r="E14" s="6" t="s">
        <v>97</v>
      </c>
      <c r="F14" s="9">
        <f>(0.7*0.7*0.8-0.4*0.4*0.63-0.5*0.5*0.02)*10</f>
        <v>2.8619999999999997</v>
      </c>
      <c r="I14" s="32"/>
      <c r="J14" s="75"/>
    </row>
    <row r="15" spans="2:10" ht="30" customHeight="1">
      <c r="B15" s="5"/>
      <c r="C15" s="6" t="s">
        <v>919</v>
      </c>
      <c r="D15" s="37" t="s">
        <v>920</v>
      </c>
      <c r="E15" s="6" t="s">
        <v>97</v>
      </c>
      <c r="F15" s="85">
        <f>(0.7*0.7*0.8-0.4*0.4*0.619-0.535*0.535*0.031)*10</f>
        <v>2.840870249999999</v>
      </c>
      <c r="I15" s="32"/>
      <c r="J15" s="75"/>
    </row>
    <row r="16" spans="2:10" ht="30" customHeight="1">
      <c r="B16" s="5"/>
      <c r="C16" s="6" t="s">
        <v>921</v>
      </c>
      <c r="D16" s="37" t="s">
        <v>922</v>
      </c>
      <c r="E16" s="6" t="s">
        <v>97</v>
      </c>
      <c r="F16" s="86">
        <f>(0.7*0.7*0.8-0.4*0.4*0.606-0.535*0.535*0.044)*10</f>
        <v>2.824461</v>
      </c>
      <c r="I16" s="32"/>
      <c r="J16" s="75"/>
    </row>
    <row r="17" spans="2:10" ht="30" customHeight="1">
      <c r="B17" s="5"/>
      <c r="C17" s="6" t="s">
        <v>923</v>
      </c>
      <c r="D17" s="37" t="s">
        <v>924</v>
      </c>
      <c r="E17" s="6" t="s">
        <v>97</v>
      </c>
      <c r="F17" s="86">
        <f>(0.7*0.7*0.8-0.4*0.4*0.612-0.535*0.535*0.038)*10</f>
        <v>2.8320345</v>
      </c>
      <c r="I17" s="32"/>
      <c r="J17" s="75"/>
    </row>
    <row r="18" spans="2:10" ht="30" customHeight="1">
      <c r="B18" s="5"/>
      <c r="C18" s="6" t="s">
        <v>925</v>
      </c>
      <c r="D18" s="37" t="s">
        <v>926</v>
      </c>
      <c r="E18" s="6" t="s">
        <v>97</v>
      </c>
      <c r="F18" s="11">
        <f>(0.7*0.7*0.8-0.4*0.4*0.6-0.535*0.535*0.05)*10</f>
        <v>2.816887499999999</v>
      </c>
      <c r="I18" s="32"/>
      <c r="J18" s="75"/>
    </row>
    <row r="19" spans="2:10" ht="30" customHeight="1">
      <c r="B19" s="5" t="s">
        <v>320</v>
      </c>
      <c r="C19" s="6">
        <v>0</v>
      </c>
      <c r="D19" s="37"/>
      <c r="E19" s="6"/>
      <c r="F19" s="9"/>
      <c r="I19" s="32"/>
      <c r="J19" s="75"/>
    </row>
    <row r="20" spans="2:10" ht="30" customHeight="1">
      <c r="B20" s="5">
        <v>0</v>
      </c>
      <c r="C20" s="6" t="s">
        <v>917</v>
      </c>
      <c r="D20" s="10" t="s">
        <v>927</v>
      </c>
      <c r="E20" s="6" t="s">
        <v>97</v>
      </c>
      <c r="F20" s="60">
        <f>(0.7*0.8*4+0.4*0.63*4)*10</f>
        <v>32.48</v>
      </c>
      <c r="I20" s="32"/>
      <c r="J20" s="75"/>
    </row>
    <row r="21" spans="2:10" ht="30" customHeight="1">
      <c r="B21" s="5">
        <v>0</v>
      </c>
      <c r="C21" s="6" t="s">
        <v>919</v>
      </c>
      <c r="D21" s="10" t="s">
        <v>928</v>
      </c>
      <c r="E21" s="6" t="s">
        <v>97</v>
      </c>
      <c r="F21" s="60">
        <f>(0.7*0.8*4+0.4*0.619*4)*10</f>
        <v>32.304</v>
      </c>
      <c r="I21" s="32"/>
      <c r="J21" s="75"/>
    </row>
    <row r="22" spans="2:10" ht="30" customHeight="1">
      <c r="B22" s="5">
        <v>0</v>
      </c>
      <c r="C22" s="6" t="s">
        <v>921</v>
      </c>
      <c r="D22" s="10" t="s">
        <v>929</v>
      </c>
      <c r="E22" s="6" t="s">
        <v>97</v>
      </c>
      <c r="F22" s="87">
        <f>(0.7*0.8*4+0.4*0.606*4)*10</f>
        <v>32.096000000000004</v>
      </c>
      <c r="I22" s="32"/>
      <c r="J22" s="75"/>
    </row>
    <row r="23" spans="2:10" ht="30" customHeight="1">
      <c r="B23" s="5">
        <v>0</v>
      </c>
      <c r="C23" s="6" t="s">
        <v>923</v>
      </c>
      <c r="D23" s="10" t="s">
        <v>930</v>
      </c>
      <c r="E23" s="6" t="s">
        <v>97</v>
      </c>
      <c r="F23" s="87">
        <f>(0.7*0.8*4+0.4*0.612*4)*10</f>
        <v>32.192</v>
      </c>
      <c r="I23" s="32"/>
      <c r="J23" s="75"/>
    </row>
    <row r="24" spans="2:10" ht="30" customHeight="1">
      <c r="B24" s="5">
        <v>0</v>
      </c>
      <c r="C24" s="6" t="s">
        <v>925</v>
      </c>
      <c r="D24" s="10" t="s">
        <v>931</v>
      </c>
      <c r="E24" s="6" t="s">
        <v>97</v>
      </c>
      <c r="F24" s="60">
        <f>(0.7*0.8*4+0.4*0.6*4)*10</f>
        <v>31.999999999999996</v>
      </c>
      <c r="I24" s="32"/>
      <c r="J24" s="75"/>
    </row>
    <row r="25" spans="2:10" ht="30" customHeight="1">
      <c r="B25" s="5"/>
      <c r="C25" s="6"/>
      <c r="D25" s="37"/>
      <c r="E25" s="6"/>
      <c r="F25" s="9"/>
      <c r="I25" s="32"/>
      <c r="J25" s="75"/>
    </row>
    <row r="26" spans="2:10" ht="30" customHeight="1">
      <c r="B26" s="5"/>
      <c r="C26" s="6"/>
      <c r="D26" s="37"/>
      <c r="E26" s="6"/>
      <c r="F26" s="9"/>
      <c r="I26" s="32"/>
      <c r="J26" s="75"/>
    </row>
    <row r="27" spans="2:10" ht="30" customHeight="1">
      <c r="B27" s="5"/>
      <c r="C27" s="6"/>
      <c r="D27" s="37"/>
      <c r="E27" s="13"/>
      <c r="F27" s="36"/>
      <c r="I27" s="32"/>
      <c r="J27" s="75"/>
    </row>
    <row r="28" spans="2:10" ht="30" customHeight="1">
      <c r="B28" s="5"/>
      <c r="C28" s="6"/>
      <c r="D28" s="37"/>
      <c r="E28" s="6"/>
      <c r="F28" s="41"/>
      <c r="I28" s="32"/>
      <c r="J28" s="75"/>
    </row>
    <row r="29" spans="2:10" ht="30" customHeight="1">
      <c r="B29" s="5"/>
      <c r="C29" s="6"/>
      <c r="D29" s="12"/>
      <c r="E29" s="13"/>
      <c r="F29" s="9"/>
      <c r="I29" s="32"/>
      <c r="J29" s="75"/>
    </row>
    <row r="30" spans="2:10" ht="30" customHeight="1" thickBot="1">
      <c r="B30" s="43"/>
      <c r="C30" s="44"/>
      <c r="D30" s="45"/>
      <c r="E30" s="44"/>
      <c r="F30" s="46"/>
      <c r="I30" s="32"/>
      <c r="J30" s="75"/>
    </row>
    <row r="32" spans="9:10" ht="13.5">
      <c r="I32" s="2"/>
      <c r="J32" s="47"/>
    </row>
    <row r="33" spans="1:4" ht="13.5">
      <c r="A33" s="22"/>
      <c r="B33" s="22"/>
      <c r="C33" s="22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9"/>
      <c r="D42" s="22"/>
    </row>
    <row r="43" spans="1:4" ht="13.5">
      <c r="A43" s="22"/>
      <c r="B43" s="50"/>
      <c r="C43" s="48"/>
      <c r="D43" s="22"/>
    </row>
    <row r="44" spans="1:4" ht="13.5">
      <c r="A44" s="22"/>
      <c r="B44" s="48"/>
      <c r="C44" s="49"/>
      <c r="D44" s="22"/>
    </row>
    <row r="45" spans="1:4" ht="13.5">
      <c r="A45" s="22"/>
      <c r="B45" s="22"/>
      <c r="C45" s="22"/>
      <c r="D45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932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933</v>
      </c>
      <c r="E7" s="6" t="s">
        <v>97</v>
      </c>
      <c r="F7" s="36">
        <f>((0.7+1)*(0.7+1)+2.64*2.64)*0.5*1*10</f>
        <v>49.298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934</v>
      </c>
      <c r="E8" s="6" t="s">
        <v>97</v>
      </c>
      <c r="F8" s="34">
        <f>49.3-5.1</f>
        <v>44.199999999999996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935</v>
      </c>
      <c r="E9" s="6" t="s">
        <v>97</v>
      </c>
      <c r="F9" s="36">
        <f>(0.8*0.8*0.1+0.7*0.7*0.9)*10</f>
        <v>5.05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916</v>
      </c>
      <c r="E10" s="6" t="s">
        <v>393</v>
      </c>
      <c r="F10" s="36">
        <f>0.8*0.8*10</f>
        <v>6.400000000000001</v>
      </c>
      <c r="I10" s="32"/>
      <c r="J10" s="75"/>
    </row>
    <row r="11" spans="2:10" ht="30" customHeight="1">
      <c r="B11" s="5" t="s">
        <v>291</v>
      </c>
      <c r="C11" s="6" t="s">
        <v>292</v>
      </c>
      <c r="D11" s="3" t="s">
        <v>916</v>
      </c>
      <c r="E11" s="6" t="s">
        <v>393</v>
      </c>
      <c r="F11" s="9">
        <f>0.8*0.8*10</f>
        <v>6.400000000000001</v>
      </c>
      <c r="I11" s="32"/>
      <c r="J11" s="75"/>
    </row>
    <row r="12" spans="2:10" ht="30" customHeight="1">
      <c r="B12" s="5" t="s">
        <v>881</v>
      </c>
      <c r="C12" s="6" t="s">
        <v>882</v>
      </c>
      <c r="D12" s="76">
        <v>10</v>
      </c>
      <c r="E12" s="6" t="s">
        <v>602</v>
      </c>
      <c r="F12" s="40">
        <f>10</f>
        <v>10</v>
      </c>
      <c r="I12" s="32"/>
      <c r="J12" s="75"/>
    </row>
    <row r="13" spans="2:10" ht="30" customHeight="1">
      <c r="B13" s="5" t="s">
        <v>294</v>
      </c>
      <c r="C13" s="6" t="s">
        <v>295</v>
      </c>
      <c r="D13" s="3"/>
      <c r="E13" s="6"/>
      <c r="F13" s="9"/>
      <c r="I13" s="32"/>
      <c r="J13" s="75"/>
    </row>
    <row r="14" spans="2:10" ht="30" customHeight="1">
      <c r="B14" s="5"/>
      <c r="C14" s="6" t="s">
        <v>917</v>
      </c>
      <c r="D14" s="37" t="s">
        <v>936</v>
      </c>
      <c r="E14" s="6" t="s">
        <v>97</v>
      </c>
      <c r="F14" s="9">
        <f>(0.7*0.7*0.9-0.4*0.4*0.73-0.5*0.5*0.02)*10</f>
        <v>3.1919999999999993</v>
      </c>
      <c r="I14" s="32"/>
      <c r="J14" s="75"/>
    </row>
    <row r="15" spans="2:10" ht="30" customHeight="1">
      <c r="B15" s="5"/>
      <c r="C15" s="6" t="s">
        <v>919</v>
      </c>
      <c r="D15" s="37" t="s">
        <v>937</v>
      </c>
      <c r="E15" s="6" t="s">
        <v>97</v>
      </c>
      <c r="F15" s="85">
        <f>(0.7*0.7*0.9-0.4*0.4*0.719-0.535*0.535*0.031)*10</f>
        <v>3.1708702499999992</v>
      </c>
      <c r="I15" s="32"/>
      <c r="J15" s="75"/>
    </row>
    <row r="16" spans="2:10" ht="30" customHeight="1">
      <c r="B16" s="5"/>
      <c r="C16" s="6" t="s">
        <v>921</v>
      </c>
      <c r="D16" s="37" t="s">
        <v>938</v>
      </c>
      <c r="E16" s="6" t="s">
        <v>97</v>
      </c>
      <c r="F16" s="86">
        <f>(0.7*0.7*0.9-0.4*0.4*0.706-0.535*0.535*0.044)*10</f>
        <v>3.1544609999999995</v>
      </c>
      <c r="I16" s="32"/>
      <c r="J16" s="75"/>
    </row>
    <row r="17" spans="2:10" ht="30" customHeight="1">
      <c r="B17" s="5"/>
      <c r="C17" s="6" t="s">
        <v>923</v>
      </c>
      <c r="D17" s="37" t="s">
        <v>939</v>
      </c>
      <c r="E17" s="6" t="s">
        <v>97</v>
      </c>
      <c r="F17" s="86">
        <f>(0.7*0.7*0.9-0.4*0.4*0.712-0.535*0.535*0.038)*10</f>
        <v>3.1620344999999994</v>
      </c>
      <c r="I17" s="32"/>
      <c r="J17" s="75"/>
    </row>
    <row r="18" spans="2:10" ht="30" customHeight="1">
      <c r="B18" s="5"/>
      <c r="C18" s="6" t="s">
        <v>925</v>
      </c>
      <c r="D18" s="37" t="s">
        <v>940</v>
      </c>
      <c r="E18" s="6" t="s">
        <v>97</v>
      </c>
      <c r="F18" s="11">
        <f>(0.7*0.7*0.9-0.4*0.4*0.7-0.535*0.535*0.05)*10</f>
        <v>3.1468874999999996</v>
      </c>
      <c r="I18" s="32"/>
      <c r="J18" s="75"/>
    </row>
    <row r="19" spans="2:10" ht="30" customHeight="1">
      <c r="B19" s="5" t="s">
        <v>320</v>
      </c>
      <c r="C19" s="6">
        <v>0</v>
      </c>
      <c r="D19" s="37"/>
      <c r="E19" s="6"/>
      <c r="F19" s="9"/>
      <c r="I19" s="32"/>
      <c r="J19" s="75"/>
    </row>
    <row r="20" spans="2:10" ht="30" customHeight="1">
      <c r="B20" s="5">
        <v>0</v>
      </c>
      <c r="C20" s="6" t="s">
        <v>917</v>
      </c>
      <c r="D20" s="10" t="s">
        <v>941</v>
      </c>
      <c r="E20" s="6" t="s">
        <v>97</v>
      </c>
      <c r="F20" s="60">
        <f>(0.7*0.9*4+0.4*0.73*4)*10</f>
        <v>36.879999999999995</v>
      </c>
      <c r="I20" s="32"/>
      <c r="J20" s="75"/>
    </row>
    <row r="21" spans="2:10" ht="30" customHeight="1">
      <c r="B21" s="5">
        <v>0</v>
      </c>
      <c r="C21" s="6" t="s">
        <v>919</v>
      </c>
      <c r="D21" s="10" t="s">
        <v>942</v>
      </c>
      <c r="E21" s="6" t="s">
        <v>97</v>
      </c>
      <c r="F21" s="60">
        <f>(0.7*0.9*4+0.4*0.719*4)*10</f>
        <v>36.704</v>
      </c>
      <c r="I21" s="32"/>
      <c r="J21" s="75"/>
    </row>
    <row r="22" spans="2:10" ht="30" customHeight="1">
      <c r="B22" s="5">
        <v>0</v>
      </c>
      <c r="C22" s="6" t="s">
        <v>921</v>
      </c>
      <c r="D22" s="10" t="s">
        <v>943</v>
      </c>
      <c r="E22" s="6" t="s">
        <v>97</v>
      </c>
      <c r="F22" s="87">
        <f>(0.7*0.9*4+0.4*0.706*4)*10</f>
        <v>36.496</v>
      </c>
      <c r="I22" s="32"/>
      <c r="J22" s="75"/>
    </row>
    <row r="23" spans="2:10" ht="30" customHeight="1">
      <c r="B23" s="5">
        <v>0</v>
      </c>
      <c r="C23" s="6" t="s">
        <v>923</v>
      </c>
      <c r="D23" s="10" t="s">
        <v>944</v>
      </c>
      <c r="E23" s="6" t="s">
        <v>97</v>
      </c>
      <c r="F23" s="87">
        <f>(0.7*0.9*4+0.4*0.712*4)*10</f>
        <v>36.592</v>
      </c>
      <c r="I23" s="32"/>
      <c r="J23" s="75"/>
    </row>
    <row r="24" spans="2:10" ht="30" customHeight="1">
      <c r="B24" s="5">
        <v>0</v>
      </c>
      <c r="C24" s="6" t="s">
        <v>925</v>
      </c>
      <c r="D24" s="10" t="s">
        <v>945</v>
      </c>
      <c r="E24" s="6" t="s">
        <v>97</v>
      </c>
      <c r="F24" s="60">
        <f>(0.7*0.9*4+0.4*0.7*4)*10</f>
        <v>36.4</v>
      </c>
      <c r="I24" s="32"/>
      <c r="J24" s="75"/>
    </row>
    <row r="25" spans="2:10" ht="30" customHeight="1">
      <c r="B25" s="5"/>
      <c r="C25" s="6"/>
      <c r="D25" s="37"/>
      <c r="E25" s="6"/>
      <c r="F25" s="9"/>
      <c r="I25" s="32"/>
      <c r="J25" s="75"/>
    </row>
    <row r="26" spans="2:10" ht="30" customHeight="1">
      <c r="B26" s="5"/>
      <c r="C26" s="6"/>
      <c r="D26" s="4"/>
      <c r="E26" s="6"/>
      <c r="F26" s="79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2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946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947</v>
      </c>
      <c r="E7" s="6" t="s">
        <v>97</v>
      </c>
      <c r="F7" s="36">
        <f>((0.8+1)*(0.8+1)+2.9*2.9)*0.5*1.1*10</f>
        <v>64.075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948</v>
      </c>
      <c r="E8" s="6" t="s">
        <v>97</v>
      </c>
      <c r="F8" s="34">
        <f>64.1-7.2</f>
        <v>56.89999999999999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949</v>
      </c>
      <c r="E9" s="6" t="s">
        <v>97</v>
      </c>
      <c r="F9" s="36">
        <f>(0.9*0.9*0.1+0.8*0.8*1)*10</f>
        <v>7.210000000000001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950</v>
      </c>
      <c r="E10" s="6" t="s">
        <v>393</v>
      </c>
      <c r="F10" s="36">
        <f>0.9*0.9*10</f>
        <v>8.100000000000001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950</v>
      </c>
      <c r="E11" s="6" t="s">
        <v>393</v>
      </c>
      <c r="F11" s="9">
        <f>0.9*0.9*10</f>
        <v>8.100000000000001</v>
      </c>
      <c r="I11" s="32"/>
      <c r="J11" s="75"/>
    </row>
    <row r="12" spans="2:10" ht="30" customHeight="1">
      <c r="B12" s="5" t="s">
        <v>881</v>
      </c>
      <c r="C12" s="6" t="s">
        <v>882</v>
      </c>
      <c r="D12" s="76">
        <v>10</v>
      </c>
      <c r="E12" s="6" t="s">
        <v>602</v>
      </c>
      <c r="F12" s="40">
        <f>10</f>
        <v>10</v>
      </c>
      <c r="I12" s="32"/>
      <c r="J12" s="75"/>
    </row>
    <row r="13" spans="2:10" ht="30" customHeight="1">
      <c r="B13" s="5" t="s">
        <v>294</v>
      </c>
      <c r="C13" s="6" t="s">
        <v>295</v>
      </c>
      <c r="D13" s="3"/>
      <c r="E13" s="6"/>
      <c r="F13" s="9"/>
      <c r="I13" s="32"/>
      <c r="J13" s="75"/>
    </row>
    <row r="14" spans="2:10" ht="30" customHeight="1">
      <c r="B14" s="5"/>
      <c r="C14" s="6" t="s">
        <v>951</v>
      </c>
      <c r="D14" s="37" t="s">
        <v>952</v>
      </c>
      <c r="E14" s="6" t="s">
        <v>97</v>
      </c>
      <c r="F14" s="9">
        <f>(0.8*0.8*1-0.5*0.5*0.83-0.6*0.6*0.02)*10</f>
        <v>4.253000000000001</v>
      </c>
      <c r="I14" s="32"/>
      <c r="J14" s="75"/>
    </row>
    <row r="15" spans="2:10" ht="30" customHeight="1">
      <c r="B15" s="5"/>
      <c r="C15" s="6" t="s">
        <v>953</v>
      </c>
      <c r="D15" s="37" t="s">
        <v>954</v>
      </c>
      <c r="E15" s="6" t="s">
        <v>97</v>
      </c>
      <c r="F15" s="85">
        <f>(0.8*0.8*1-0.5*0.5*0.812-0.625*0.625*0.038)*10</f>
        <v>4.221562500000001</v>
      </c>
      <c r="I15" s="32"/>
      <c r="J15" s="75"/>
    </row>
    <row r="16" spans="2:10" ht="30" customHeight="1">
      <c r="B16" s="5"/>
      <c r="C16" s="6" t="s">
        <v>955</v>
      </c>
      <c r="D16" s="37" t="s">
        <v>956</v>
      </c>
      <c r="E16" s="6" t="s">
        <v>97</v>
      </c>
      <c r="F16" s="86">
        <f>(0.8*0.8*1-0.5*0.5*0.806-0.625*0.625*0.044)*10</f>
        <v>4.213125000000001</v>
      </c>
      <c r="I16" s="32"/>
      <c r="J16" s="75"/>
    </row>
    <row r="17" spans="2:10" ht="30" customHeight="1">
      <c r="B17" s="5"/>
      <c r="C17" s="6" t="s">
        <v>957</v>
      </c>
      <c r="D17" s="37" t="s">
        <v>956</v>
      </c>
      <c r="E17" s="6" t="s">
        <v>97</v>
      </c>
      <c r="F17" s="86">
        <f>(0.8*0.8*1-0.5*0.5*0.806-0.625*0.625*0.044)*10</f>
        <v>4.213125000000001</v>
      </c>
      <c r="I17" s="32"/>
      <c r="J17" s="75"/>
    </row>
    <row r="18" spans="2:10" ht="30" customHeight="1">
      <c r="B18" s="5"/>
      <c r="C18" s="6" t="s">
        <v>958</v>
      </c>
      <c r="D18" s="37" t="s">
        <v>959</v>
      </c>
      <c r="E18" s="6" t="s">
        <v>97</v>
      </c>
      <c r="F18" s="11">
        <f>(0.8*0.8*1-0.5*0.5*0.794-0.63*0.63*0.056)*10</f>
        <v>4.192736000000002</v>
      </c>
      <c r="I18" s="32"/>
      <c r="J18" s="75"/>
    </row>
    <row r="19" spans="2:10" ht="30" customHeight="1">
      <c r="B19" s="5" t="s">
        <v>320</v>
      </c>
      <c r="C19" s="6">
        <v>0</v>
      </c>
      <c r="D19" s="37"/>
      <c r="E19" s="6"/>
      <c r="F19" s="9"/>
      <c r="I19" s="32"/>
      <c r="J19" s="75"/>
    </row>
    <row r="20" spans="2:10" ht="30" customHeight="1">
      <c r="B20" s="5">
        <v>0</v>
      </c>
      <c r="C20" s="6" t="s">
        <v>951</v>
      </c>
      <c r="D20" s="10" t="s">
        <v>960</v>
      </c>
      <c r="E20" s="6" t="s">
        <v>97</v>
      </c>
      <c r="F20" s="60">
        <f>(0.8*1*4+0.5*0.83*4)*10</f>
        <v>48.6</v>
      </c>
      <c r="I20" s="32"/>
      <c r="J20" s="75"/>
    </row>
    <row r="21" spans="2:10" ht="30" customHeight="1">
      <c r="B21" s="5">
        <v>0</v>
      </c>
      <c r="C21" s="6" t="s">
        <v>953</v>
      </c>
      <c r="D21" s="10" t="s">
        <v>961</v>
      </c>
      <c r="E21" s="6" t="s">
        <v>97</v>
      </c>
      <c r="F21" s="60">
        <f>(0.8*1*4+0.5*0.812*4)*10</f>
        <v>48.239999999999995</v>
      </c>
      <c r="I21" s="32"/>
      <c r="J21" s="75"/>
    </row>
    <row r="22" spans="2:10" ht="30" customHeight="1">
      <c r="B22" s="5">
        <v>0</v>
      </c>
      <c r="C22" s="6" t="s">
        <v>955</v>
      </c>
      <c r="D22" s="10" t="s">
        <v>962</v>
      </c>
      <c r="E22" s="6" t="s">
        <v>97</v>
      </c>
      <c r="F22" s="87">
        <f>(0.8*1*4+0.5*0.806*4)*10</f>
        <v>48.120000000000005</v>
      </c>
      <c r="I22" s="32"/>
      <c r="J22" s="75"/>
    </row>
    <row r="23" spans="2:10" ht="30" customHeight="1">
      <c r="B23" s="5">
        <v>0</v>
      </c>
      <c r="C23" s="6" t="s">
        <v>957</v>
      </c>
      <c r="D23" s="10" t="s">
        <v>963</v>
      </c>
      <c r="E23" s="6" t="s">
        <v>97</v>
      </c>
      <c r="F23" s="87">
        <f>(0.8*1*4+0.5*0.806*4)*10</f>
        <v>48.120000000000005</v>
      </c>
      <c r="I23" s="32"/>
      <c r="J23" s="75"/>
    </row>
    <row r="24" spans="2:10" ht="30" customHeight="1">
      <c r="B24" s="5">
        <v>0</v>
      </c>
      <c r="C24" s="6" t="s">
        <v>958</v>
      </c>
      <c r="D24" s="10" t="s">
        <v>964</v>
      </c>
      <c r="E24" s="6" t="s">
        <v>97</v>
      </c>
      <c r="F24" s="60">
        <f>(0.8*1*4+0.5*0.794*4)*10</f>
        <v>47.88</v>
      </c>
      <c r="I24" s="32"/>
      <c r="J24" s="75"/>
    </row>
    <row r="25" spans="2:10" ht="30" customHeight="1">
      <c r="B25" s="5"/>
      <c r="C25" s="6"/>
      <c r="D25" s="37"/>
      <c r="E25" s="6"/>
      <c r="F25" s="9"/>
      <c r="I25" s="32"/>
      <c r="J25" s="75"/>
    </row>
    <row r="26" spans="2:10" ht="30" customHeight="1">
      <c r="B26" s="5"/>
      <c r="C26" s="6"/>
      <c r="D26" s="4"/>
      <c r="E26" s="6"/>
      <c r="F26" s="79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965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966</v>
      </c>
      <c r="E7" s="6" t="s">
        <v>97</v>
      </c>
      <c r="F7" s="36">
        <f>(1.8*1.8+3*3)*0.5*1.2*10</f>
        <v>73.44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967</v>
      </c>
      <c r="E8" s="6" t="s">
        <v>97</v>
      </c>
      <c r="F8" s="34">
        <f>73.4-7.9</f>
        <v>65.5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969</v>
      </c>
      <c r="E9" s="6" t="s">
        <v>97</v>
      </c>
      <c r="F9" s="36">
        <f>(0.9*0.9*0.1+0.8*0.8*1.1)*10</f>
        <v>7.850000000000001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950</v>
      </c>
      <c r="E10" s="6" t="s">
        <v>393</v>
      </c>
      <c r="F10" s="36">
        <f>0.9*0.9*10</f>
        <v>8.100000000000001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950</v>
      </c>
      <c r="E11" s="6" t="s">
        <v>393</v>
      </c>
      <c r="F11" s="9">
        <f>0.9*0.9*10</f>
        <v>8.100000000000001</v>
      </c>
      <c r="I11" s="32"/>
      <c r="J11" s="75"/>
    </row>
    <row r="12" spans="2:10" ht="30" customHeight="1">
      <c r="B12" s="5" t="s">
        <v>881</v>
      </c>
      <c r="C12" s="6" t="s">
        <v>882</v>
      </c>
      <c r="D12" s="76">
        <v>10</v>
      </c>
      <c r="E12" s="6" t="s">
        <v>602</v>
      </c>
      <c r="F12" s="40">
        <f>10</f>
        <v>10</v>
      </c>
      <c r="I12" s="32"/>
      <c r="J12" s="75"/>
    </row>
    <row r="13" spans="2:10" ht="30" customHeight="1">
      <c r="B13" s="5" t="s">
        <v>294</v>
      </c>
      <c r="C13" s="6" t="s">
        <v>295</v>
      </c>
      <c r="D13" s="3"/>
      <c r="E13" s="6"/>
      <c r="F13" s="9"/>
      <c r="I13" s="32"/>
      <c r="J13" s="75"/>
    </row>
    <row r="14" spans="2:10" ht="30" customHeight="1">
      <c r="B14" s="5"/>
      <c r="C14" s="6" t="s">
        <v>951</v>
      </c>
      <c r="D14" s="37" t="s">
        <v>970</v>
      </c>
      <c r="E14" s="6" t="s">
        <v>97</v>
      </c>
      <c r="F14" s="9">
        <f>(0.8*0.8*1.1-0.5*0.5*0.93-0.6*0.6*0.02)*10</f>
        <v>4.643000000000002</v>
      </c>
      <c r="I14" s="32"/>
      <c r="J14" s="75"/>
    </row>
    <row r="15" spans="2:10" ht="30" customHeight="1">
      <c r="B15" s="5"/>
      <c r="C15" s="6" t="s">
        <v>953</v>
      </c>
      <c r="D15" s="37" t="s">
        <v>971</v>
      </c>
      <c r="E15" s="6" t="s">
        <v>97</v>
      </c>
      <c r="F15" s="85">
        <f>(0.8*0.8*1.1-0.5*0.5*0.912-0.625*0.625*0.038)*10</f>
        <v>4.6115625000000025</v>
      </c>
      <c r="I15" s="32"/>
      <c r="J15" s="75"/>
    </row>
    <row r="16" spans="2:10" ht="30" customHeight="1">
      <c r="B16" s="5"/>
      <c r="C16" s="6" t="s">
        <v>955</v>
      </c>
      <c r="D16" s="37" t="s">
        <v>972</v>
      </c>
      <c r="E16" s="6" t="s">
        <v>97</v>
      </c>
      <c r="F16" s="86">
        <f>(0.8*0.8*1.1-0.5*0.5*0.906-0.625*0.625*0.044)*10</f>
        <v>4.603125000000001</v>
      </c>
      <c r="I16" s="32"/>
      <c r="J16" s="75"/>
    </row>
    <row r="17" spans="2:10" ht="30" customHeight="1">
      <c r="B17" s="5"/>
      <c r="C17" s="6" t="s">
        <v>957</v>
      </c>
      <c r="D17" s="37" t="s">
        <v>972</v>
      </c>
      <c r="E17" s="6" t="s">
        <v>97</v>
      </c>
      <c r="F17" s="86">
        <f>(0.8*0.8*1.1-0.5*0.5*0.906-0.625*0.625*0.044)*10</f>
        <v>4.603125000000001</v>
      </c>
      <c r="I17" s="32"/>
      <c r="J17" s="75"/>
    </row>
    <row r="18" spans="2:10" ht="30" customHeight="1">
      <c r="B18" s="5"/>
      <c r="C18" s="6" t="s">
        <v>958</v>
      </c>
      <c r="D18" s="37" t="s">
        <v>973</v>
      </c>
      <c r="E18" s="6" t="s">
        <v>97</v>
      </c>
      <c r="F18" s="11">
        <f>(0.8*0.8*1.1-0.5*0.5*0.894-0.63*0.63*0.056)*10</f>
        <v>4.5827360000000015</v>
      </c>
      <c r="I18" s="32"/>
      <c r="J18" s="75"/>
    </row>
    <row r="19" spans="2:10" ht="30" customHeight="1">
      <c r="B19" s="5" t="s">
        <v>320</v>
      </c>
      <c r="C19" s="6">
        <v>0</v>
      </c>
      <c r="D19" s="37"/>
      <c r="E19" s="6"/>
      <c r="F19" s="9"/>
      <c r="I19" s="32"/>
      <c r="J19" s="75"/>
    </row>
    <row r="20" spans="2:10" ht="30" customHeight="1">
      <c r="B20" s="5">
        <v>0</v>
      </c>
      <c r="C20" s="6" t="s">
        <v>951</v>
      </c>
      <c r="D20" s="10" t="s">
        <v>974</v>
      </c>
      <c r="E20" s="6" t="s">
        <v>97</v>
      </c>
      <c r="F20" s="60">
        <f>(0.8*1.1*4+0.5*0.93*4)*10</f>
        <v>53.80000000000001</v>
      </c>
      <c r="I20" s="32"/>
      <c r="J20" s="75"/>
    </row>
    <row r="21" spans="2:10" ht="30" customHeight="1">
      <c r="B21" s="5">
        <v>0</v>
      </c>
      <c r="C21" s="6" t="s">
        <v>953</v>
      </c>
      <c r="D21" s="10" t="s">
        <v>975</v>
      </c>
      <c r="E21" s="6" t="s">
        <v>97</v>
      </c>
      <c r="F21" s="60">
        <f>(0.8*1.1*4+0.5*0.912*4)*10</f>
        <v>53.440000000000005</v>
      </c>
      <c r="I21" s="32"/>
      <c r="J21" s="75"/>
    </row>
    <row r="22" spans="2:10" ht="30" customHeight="1">
      <c r="B22" s="5">
        <v>0</v>
      </c>
      <c r="C22" s="6" t="s">
        <v>955</v>
      </c>
      <c r="D22" s="10" t="s">
        <v>976</v>
      </c>
      <c r="E22" s="6" t="s">
        <v>97</v>
      </c>
      <c r="F22" s="87">
        <f>(0.8*1.1*4+0.5*0.906*4)*10</f>
        <v>53.32000000000001</v>
      </c>
      <c r="I22" s="32"/>
      <c r="J22" s="75"/>
    </row>
    <row r="23" spans="2:10" ht="30" customHeight="1">
      <c r="B23" s="5">
        <v>0</v>
      </c>
      <c r="C23" s="6" t="s">
        <v>957</v>
      </c>
      <c r="D23" s="10" t="s">
        <v>976</v>
      </c>
      <c r="E23" s="6" t="s">
        <v>97</v>
      </c>
      <c r="F23" s="87">
        <f>(0.8*1.1*4+0.5*0.906*4)*10</f>
        <v>53.32000000000001</v>
      </c>
      <c r="I23" s="32"/>
      <c r="J23" s="75"/>
    </row>
    <row r="24" spans="2:10" ht="30" customHeight="1">
      <c r="B24" s="5">
        <v>0</v>
      </c>
      <c r="C24" s="6" t="s">
        <v>958</v>
      </c>
      <c r="D24" s="10" t="s">
        <v>977</v>
      </c>
      <c r="E24" s="6" t="s">
        <v>97</v>
      </c>
      <c r="F24" s="60">
        <f>(0.8*1.1*4+0.5*0.894*4)*10</f>
        <v>53.080000000000005</v>
      </c>
      <c r="I24" s="32"/>
      <c r="J24" s="75"/>
    </row>
    <row r="25" spans="2:10" ht="30" customHeight="1">
      <c r="B25" s="5"/>
      <c r="C25" s="6"/>
      <c r="D25" s="37"/>
      <c r="E25" s="6"/>
      <c r="F25" s="9"/>
      <c r="I25" s="32"/>
      <c r="J25" s="75"/>
    </row>
    <row r="26" spans="2:10" ht="30" customHeight="1">
      <c r="B26" s="5"/>
      <c r="C26" s="6"/>
      <c r="D26" s="4"/>
      <c r="E26" s="6"/>
      <c r="F26" s="79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7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978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877</v>
      </c>
      <c r="E7" s="6" t="s">
        <v>97</v>
      </c>
      <c r="F7" s="36">
        <f>(0.6+0.4)*(0.6+0.4)*0.7*10</f>
        <v>7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979</v>
      </c>
      <c r="E8" s="6" t="s">
        <v>97</v>
      </c>
      <c r="F8" s="34">
        <f>7-2.7</f>
        <v>4.3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879</v>
      </c>
      <c r="E9" s="6" t="s">
        <v>97</v>
      </c>
      <c r="F9" s="36">
        <f>(0.7*0.7*0.1+0.6*0.6*0.6)*10</f>
        <v>2.6500000000000004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880</v>
      </c>
      <c r="E10" s="6" t="s">
        <v>393</v>
      </c>
      <c r="F10" s="36">
        <f>0.7*0.7*10</f>
        <v>4.8999999999999995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880</v>
      </c>
      <c r="E11" s="6" t="s">
        <v>393</v>
      </c>
      <c r="F11" s="9">
        <f>0.7*0.7*10</f>
        <v>4.8999999999999995</v>
      </c>
      <c r="I11" s="32"/>
      <c r="J11" s="75"/>
    </row>
    <row r="12" spans="2:10" ht="30" customHeight="1">
      <c r="B12" s="5" t="s">
        <v>881</v>
      </c>
      <c r="C12" s="6" t="s">
        <v>882</v>
      </c>
      <c r="D12" s="76">
        <v>10</v>
      </c>
      <c r="E12" s="6" t="s">
        <v>602</v>
      </c>
      <c r="F12" s="40">
        <f>10</f>
        <v>10</v>
      </c>
      <c r="I12" s="32"/>
      <c r="J12" s="75"/>
    </row>
    <row r="13" spans="2:10" ht="30" customHeight="1">
      <c r="B13" s="5" t="s">
        <v>294</v>
      </c>
      <c r="C13" s="6" t="s">
        <v>295</v>
      </c>
      <c r="D13" s="3"/>
      <c r="E13" s="6"/>
      <c r="F13" s="9"/>
      <c r="I13" s="32"/>
      <c r="J13" s="75"/>
    </row>
    <row r="14" spans="2:10" ht="30" customHeight="1">
      <c r="B14" s="5"/>
      <c r="C14" s="6" t="s">
        <v>883</v>
      </c>
      <c r="D14" s="37" t="s">
        <v>980</v>
      </c>
      <c r="E14" s="6" t="s">
        <v>97</v>
      </c>
      <c r="F14" s="9">
        <f>(0.6*0.6*0.6-0.3*0.3*0.58-0.4*0.4*0.02)*10</f>
        <v>1.6059999999999999</v>
      </c>
      <c r="I14" s="32"/>
      <c r="J14" s="75"/>
    </row>
    <row r="15" spans="2:10" ht="30" customHeight="1">
      <c r="B15" s="5"/>
      <c r="C15" s="6" t="s">
        <v>885</v>
      </c>
      <c r="D15" s="37" t="s">
        <v>981</v>
      </c>
      <c r="E15" s="6" t="s">
        <v>97</v>
      </c>
      <c r="F15" s="85">
        <f>(0.6*0.6*0.6-0.3*0.3*0.577-0.414*0.414*0.023)*10</f>
        <v>1.60127892</v>
      </c>
      <c r="I15" s="32"/>
      <c r="J15" s="75"/>
    </row>
    <row r="16" spans="2:10" ht="30" customHeight="1">
      <c r="B16" s="5"/>
      <c r="C16" s="6" t="s">
        <v>887</v>
      </c>
      <c r="D16" s="37" t="s">
        <v>982</v>
      </c>
      <c r="E16" s="6" t="s">
        <v>97</v>
      </c>
      <c r="F16" s="86">
        <f>(0.6*0.6*0.6-0.3*0.3*0.562-0.42*0.42*0.038)*10</f>
        <v>1.5871680000000001</v>
      </c>
      <c r="I16" s="32"/>
      <c r="J16" s="75"/>
    </row>
    <row r="17" spans="2:10" ht="30" customHeight="1">
      <c r="B17" s="5"/>
      <c r="C17" s="6" t="s">
        <v>889</v>
      </c>
      <c r="D17" s="37" t="s">
        <v>983</v>
      </c>
      <c r="E17" s="6" t="s">
        <v>97</v>
      </c>
      <c r="F17" s="86">
        <f>(0.6*0.6*0.6-0.3*0.3*0.569-0.42*0.42*0.031)*10</f>
        <v>1.5932159999999997</v>
      </c>
      <c r="I17" s="32"/>
      <c r="J17" s="75"/>
    </row>
    <row r="18" spans="2:10" ht="30" customHeight="1">
      <c r="B18" s="5"/>
      <c r="C18" s="6" t="s">
        <v>891</v>
      </c>
      <c r="D18" s="37" t="s">
        <v>984</v>
      </c>
      <c r="E18" s="6" t="s">
        <v>97</v>
      </c>
      <c r="F18" s="11">
        <f>(0.6*0.6*0.6-0.3*0.3*0.556-0.42*0.42*0.044)*10</f>
        <v>1.5819839999999998</v>
      </c>
      <c r="I18" s="32"/>
      <c r="J18" s="75"/>
    </row>
    <row r="19" spans="2:10" ht="30" customHeight="1">
      <c r="B19" s="5" t="s">
        <v>320</v>
      </c>
      <c r="C19" s="6">
        <v>0</v>
      </c>
      <c r="D19" s="37"/>
      <c r="E19" s="6"/>
      <c r="F19" s="9"/>
      <c r="I19" s="32"/>
      <c r="J19" s="75"/>
    </row>
    <row r="20" spans="2:10" ht="30" customHeight="1">
      <c r="B20" s="5">
        <v>0</v>
      </c>
      <c r="C20" s="6" t="s">
        <v>883</v>
      </c>
      <c r="D20" s="10" t="s">
        <v>985</v>
      </c>
      <c r="E20" s="6" t="s">
        <v>97</v>
      </c>
      <c r="F20" s="60">
        <f>(0.6*0.6*4+0.3*0.58*4)*10</f>
        <v>21.36</v>
      </c>
      <c r="I20" s="32"/>
      <c r="J20" s="75"/>
    </row>
    <row r="21" spans="2:10" ht="30" customHeight="1">
      <c r="B21" s="5">
        <v>0</v>
      </c>
      <c r="C21" s="6" t="s">
        <v>885</v>
      </c>
      <c r="D21" s="10" t="s">
        <v>986</v>
      </c>
      <c r="E21" s="6" t="s">
        <v>97</v>
      </c>
      <c r="F21" s="60">
        <f>(0.6*0.6*4+0.3*0.577*4)*10</f>
        <v>21.323999999999998</v>
      </c>
      <c r="I21" s="32"/>
      <c r="J21" s="75"/>
    </row>
    <row r="22" spans="2:10" ht="30" customHeight="1">
      <c r="B22" s="5">
        <v>0</v>
      </c>
      <c r="C22" s="6" t="s">
        <v>887</v>
      </c>
      <c r="D22" s="10" t="s">
        <v>987</v>
      </c>
      <c r="E22" s="6" t="s">
        <v>97</v>
      </c>
      <c r="F22" s="87">
        <f>(0.6*0.6*4+0.3*0.562*4)*10</f>
        <v>21.144</v>
      </c>
      <c r="I22" s="32"/>
      <c r="J22" s="75"/>
    </row>
    <row r="23" spans="2:10" ht="30" customHeight="1">
      <c r="B23" s="5">
        <v>0</v>
      </c>
      <c r="C23" s="6" t="s">
        <v>889</v>
      </c>
      <c r="D23" s="10" t="s">
        <v>988</v>
      </c>
      <c r="E23" s="6" t="s">
        <v>97</v>
      </c>
      <c r="F23" s="87">
        <f>(0.6*0.6*4+0.3*0.569*4)*10</f>
        <v>21.227999999999998</v>
      </c>
      <c r="I23" s="32"/>
      <c r="J23" s="75"/>
    </row>
    <row r="24" spans="2:10" ht="30" customHeight="1">
      <c r="B24" s="5">
        <v>0</v>
      </c>
      <c r="C24" s="6" t="s">
        <v>891</v>
      </c>
      <c r="D24" s="10" t="s">
        <v>989</v>
      </c>
      <c r="E24" s="6" t="s">
        <v>97</v>
      </c>
      <c r="F24" s="60">
        <f>(0.6*0.6*4+0.3*0.556*4)*10</f>
        <v>21.071999999999996</v>
      </c>
      <c r="I24" s="32"/>
      <c r="J24" s="75"/>
    </row>
    <row r="25" spans="2:10" ht="30" customHeight="1">
      <c r="B25" s="5"/>
      <c r="C25" s="6"/>
      <c r="D25" s="10"/>
      <c r="E25" s="6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0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990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899</v>
      </c>
      <c r="E7" s="6" t="s">
        <v>97</v>
      </c>
      <c r="F7" s="36">
        <f>(0.6+1)*(0.6+1)*0.8*10</f>
        <v>20.480000000000004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900</v>
      </c>
      <c r="E8" s="6" t="s">
        <v>97</v>
      </c>
      <c r="F8" s="34">
        <f>20.5-3</f>
        <v>17.5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901</v>
      </c>
      <c r="E9" s="6" t="s">
        <v>97</v>
      </c>
      <c r="F9" s="36">
        <f>(0.7*0.7*0.1+0.6*0.6*0.7)*10</f>
        <v>3.01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880</v>
      </c>
      <c r="E10" s="6" t="s">
        <v>393</v>
      </c>
      <c r="F10" s="36">
        <f>0.7*0.7*10</f>
        <v>4.8999999999999995</v>
      </c>
      <c r="I10" s="32"/>
      <c r="J10" s="75"/>
    </row>
    <row r="11" spans="2:10" ht="30" customHeight="1">
      <c r="B11" s="5" t="s">
        <v>291</v>
      </c>
      <c r="C11" s="6" t="s">
        <v>292</v>
      </c>
      <c r="D11" s="3" t="s">
        <v>880</v>
      </c>
      <c r="E11" s="6" t="s">
        <v>393</v>
      </c>
      <c r="F11" s="9">
        <f>0.7*0.7*10</f>
        <v>4.8999999999999995</v>
      </c>
      <c r="I11" s="32"/>
      <c r="J11" s="75"/>
    </row>
    <row r="12" spans="2:10" ht="30" customHeight="1">
      <c r="B12" s="5" t="s">
        <v>881</v>
      </c>
      <c r="C12" s="6" t="s">
        <v>882</v>
      </c>
      <c r="D12" s="76">
        <v>10</v>
      </c>
      <c r="E12" s="6" t="s">
        <v>602</v>
      </c>
      <c r="F12" s="40">
        <f>10</f>
        <v>10</v>
      </c>
      <c r="I12" s="32"/>
      <c r="J12" s="75"/>
    </row>
    <row r="13" spans="2:10" ht="30" customHeight="1">
      <c r="B13" s="5" t="s">
        <v>294</v>
      </c>
      <c r="C13" s="6" t="s">
        <v>295</v>
      </c>
      <c r="D13" s="3"/>
      <c r="E13" s="6"/>
      <c r="F13" s="9"/>
      <c r="I13" s="32"/>
      <c r="J13" s="75"/>
    </row>
    <row r="14" spans="2:10" ht="30" customHeight="1">
      <c r="B14" s="5"/>
      <c r="C14" s="6" t="s">
        <v>883</v>
      </c>
      <c r="D14" s="37" t="s">
        <v>991</v>
      </c>
      <c r="E14" s="6" t="s">
        <v>97</v>
      </c>
      <c r="F14" s="9">
        <f>(0.6*0.6*0.7-0.3*0.3*0.68-0.4*0.4*0.02)*10</f>
        <v>1.876</v>
      </c>
      <c r="I14" s="32"/>
      <c r="J14" s="75"/>
    </row>
    <row r="15" spans="2:10" ht="30" customHeight="1">
      <c r="B15" s="5"/>
      <c r="C15" s="6" t="s">
        <v>885</v>
      </c>
      <c r="D15" s="37" t="s">
        <v>992</v>
      </c>
      <c r="E15" s="6" t="s">
        <v>97</v>
      </c>
      <c r="F15" s="85">
        <f>(0.6*0.6*0.7-0.3*0.3*0.677-0.414*0.414*0.023)*10</f>
        <v>1.87127892</v>
      </c>
      <c r="I15" s="32"/>
      <c r="J15" s="75"/>
    </row>
    <row r="16" spans="2:10" ht="30" customHeight="1">
      <c r="B16" s="5"/>
      <c r="C16" s="6" t="s">
        <v>887</v>
      </c>
      <c r="D16" s="37" t="s">
        <v>993</v>
      </c>
      <c r="E16" s="6" t="s">
        <v>97</v>
      </c>
      <c r="F16" s="86">
        <f>(0.6*0.6*0.7-0.3*0.3*0.662-0.42*0.42*0.038)*10</f>
        <v>1.8571680000000002</v>
      </c>
      <c r="I16" s="32"/>
      <c r="J16" s="75"/>
    </row>
    <row r="17" spans="2:10" ht="30" customHeight="1">
      <c r="B17" s="5"/>
      <c r="C17" s="6" t="s">
        <v>889</v>
      </c>
      <c r="D17" s="37" t="s">
        <v>994</v>
      </c>
      <c r="E17" s="6" t="s">
        <v>97</v>
      </c>
      <c r="F17" s="86">
        <f>(0.6*0.6*0.7-0.3*0.3*0.669-0.42*0.42*0.031)*10</f>
        <v>1.863216</v>
      </c>
      <c r="I17" s="32"/>
      <c r="J17" s="75"/>
    </row>
    <row r="18" spans="2:10" ht="30" customHeight="1">
      <c r="B18" s="5"/>
      <c r="C18" s="6" t="s">
        <v>891</v>
      </c>
      <c r="D18" s="37" t="s">
        <v>995</v>
      </c>
      <c r="E18" s="6" t="s">
        <v>97</v>
      </c>
      <c r="F18" s="11">
        <f>(0.6*0.6*0.7-0.3*0.3*0.656-0.42*0.42*0.044)*10</f>
        <v>1.8519839999999999</v>
      </c>
      <c r="I18" s="32"/>
      <c r="J18" s="75"/>
    </row>
    <row r="19" spans="2:10" ht="30" customHeight="1">
      <c r="B19" s="5" t="s">
        <v>320</v>
      </c>
      <c r="C19" s="6">
        <v>0</v>
      </c>
      <c r="D19" s="37"/>
      <c r="E19" s="6"/>
      <c r="F19" s="9"/>
      <c r="I19" s="32"/>
      <c r="J19" s="75"/>
    </row>
    <row r="20" spans="2:10" ht="30" customHeight="1">
      <c r="B20" s="5">
        <v>0</v>
      </c>
      <c r="C20" s="6" t="s">
        <v>883</v>
      </c>
      <c r="D20" s="10" t="s">
        <v>996</v>
      </c>
      <c r="E20" s="6" t="s">
        <v>97</v>
      </c>
      <c r="F20" s="60">
        <f>(0.6*0.7*4+0.3*0.68*4)*10</f>
        <v>24.96</v>
      </c>
      <c r="I20" s="32"/>
      <c r="J20" s="75"/>
    </row>
    <row r="21" spans="2:10" ht="30" customHeight="1">
      <c r="B21" s="5">
        <v>0</v>
      </c>
      <c r="C21" s="6" t="s">
        <v>885</v>
      </c>
      <c r="D21" s="10" t="s">
        <v>997</v>
      </c>
      <c r="E21" s="6" t="s">
        <v>97</v>
      </c>
      <c r="F21" s="60">
        <f>(0.6*0.7*4+0.3*0.677*4)*10</f>
        <v>24.924</v>
      </c>
      <c r="I21" s="32"/>
      <c r="J21" s="75"/>
    </row>
    <row r="22" spans="2:10" ht="30" customHeight="1">
      <c r="B22" s="5">
        <v>0</v>
      </c>
      <c r="C22" s="6" t="s">
        <v>887</v>
      </c>
      <c r="D22" s="10" t="s">
        <v>998</v>
      </c>
      <c r="E22" s="6" t="s">
        <v>97</v>
      </c>
      <c r="F22" s="87">
        <f>(0.6*0.7*4+0.3*0.662*4)*10</f>
        <v>24.744</v>
      </c>
      <c r="I22" s="32"/>
      <c r="J22" s="75"/>
    </row>
    <row r="23" spans="2:10" ht="30" customHeight="1">
      <c r="B23" s="5">
        <v>0</v>
      </c>
      <c r="C23" s="6" t="s">
        <v>889</v>
      </c>
      <c r="D23" s="10" t="s">
        <v>999</v>
      </c>
      <c r="E23" s="6" t="s">
        <v>97</v>
      </c>
      <c r="F23" s="87">
        <f>(0.6*0.7*4+0.3*0.669*4)*10</f>
        <v>24.828000000000003</v>
      </c>
      <c r="I23" s="32"/>
      <c r="J23" s="75"/>
    </row>
    <row r="24" spans="2:10" ht="30" customHeight="1">
      <c r="B24" s="5">
        <v>0</v>
      </c>
      <c r="C24" s="6" t="s">
        <v>891</v>
      </c>
      <c r="D24" s="10" t="s">
        <v>1000</v>
      </c>
      <c r="E24" s="6" t="s">
        <v>97</v>
      </c>
      <c r="F24" s="60">
        <f>(0.6*0.7*4+0.3*0.656*4)*10</f>
        <v>24.672</v>
      </c>
      <c r="I24" s="32"/>
      <c r="J24" s="75"/>
    </row>
    <row r="25" spans="2:10" ht="30" customHeight="1">
      <c r="B25" s="5"/>
      <c r="C25" s="6"/>
      <c r="D25" s="37"/>
      <c r="E25" s="6"/>
      <c r="F25" s="9"/>
      <c r="I25" s="32"/>
      <c r="J25" s="75"/>
    </row>
    <row r="26" spans="2:10" ht="30" customHeight="1">
      <c r="B26" s="5"/>
      <c r="C26" s="6"/>
      <c r="D26" s="10"/>
      <c r="E26" s="13"/>
      <c r="F26" s="55"/>
      <c r="I26" s="32"/>
      <c r="J26" s="75"/>
    </row>
    <row r="27" spans="2:10" ht="30" customHeight="1">
      <c r="B27" s="5"/>
      <c r="C27" s="6"/>
      <c r="D27" s="10"/>
      <c r="E27" s="13"/>
      <c r="F27" s="11"/>
      <c r="I27" s="32"/>
      <c r="J27" s="75"/>
    </row>
    <row r="28" spans="2:10" ht="30" customHeight="1">
      <c r="B28" s="5"/>
      <c r="C28" s="6"/>
      <c r="D28" s="37"/>
      <c r="E28" s="13"/>
      <c r="F28" s="36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J45"/>
  <sheetViews>
    <sheetView showZeros="0" workbookViewId="0" topLeftCell="A10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1001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1002</v>
      </c>
      <c r="E7" s="6" t="s">
        <v>97</v>
      </c>
      <c r="F7" s="36">
        <f>(0.7+1)*(0.7+1)*0.9*10</f>
        <v>26.009999999999998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914</v>
      </c>
      <c r="E8" s="6" t="s">
        <v>97</v>
      </c>
      <c r="F8" s="34">
        <f>26-4.6</f>
        <v>21.4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915</v>
      </c>
      <c r="E9" s="6" t="s">
        <v>97</v>
      </c>
      <c r="F9" s="36">
        <f>(0.8*0.8*0.1+0.7*0.7*0.8)*10</f>
        <v>4.56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1003</v>
      </c>
      <c r="E10" s="6" t="s">
        <v>393</v>
      </c>
      <c r="F10" s="36">
        <f>0.8*0.8*10</f>
        <v>6.400000000000001</v>
      </c>
      <c r="I10" s="32"/>
      <c r="J10" s="75"/>
    </row>
    <row r="11" spans="2:10" ht="30" customHeight="1">
      <c r="B11" s="5" t="s">
        <v>291</v>
      </c>
      <c r="C11" s="6" t="s">
        <v>292</v>
      </c>
      <c r="D11" s="3" t="s">
        <v>916</v>
      </c>
      <c r="E11" s="6" t="s">
        <v>393</v>
      </c>
      <c r="F11" s="9">
        <f>0.8*0.8*10</f>
        <v>6.400000000000001</v>
      </c>
      <c r="I11" s="32"/>
      <c r="J11" s="75"/>
    </row>
    <row r="12" spans="2:10" ht="30" customHeight="1">
      <c r="B12" s="5" t="s">
        <v>881</v>
      </c>
      <c r="C12" s="6" t="s">
        <v>882</v>
      </c>
      <c r="D12" s="76">
        <v>10</v>
      </c>
      <c r="E12" s="6" t="s">
        <v>602</v>
      </c>
      <c r="F12" s="40">
        <f>10</f>
        <v>10</v>
      </c>
      <c r="I12" s="32"/>
      <c r="J12" s="75"/>
    </row>
    <row r="13" spans="2:10" ht="30" customHeight="1">
      <c r="B13" s="5" t="s">
        <v>294</v>
      </c>
      <c r="C13" s="6" t="s">
        <v>295</v>
      </c>
      <c r="D13" s="3"/>
      <c r="E13" s="6"/>
      <c r="F13" s="9"/>
      <c r="I13" s="32"/>
      <c r="J13" s="75"/>
    </row>
    <row r="14" spans="2:10" ht="30" customHeight="1">
      <c r="B14" s="5"/>
      <c r="C14" s="6" t="s">
        <v>917</v>
      </c>
      <c r="D14" s="37" t="s">
        <v>1004</v>
      </c>
      <c r="E14" s="6" t="s">
        <v>97</v>
      </c>
      <c r="F14" s="9">
        <f>(0.7*0.7*0.8-0.4*0.4*0.78-0.5*0.5*0.02)*10</f>
        <v>2.6219999999999994</v>
      </c>
      <c r="I14" s="32"/>
      <c r="J14" s="75"/>
    </row>
    <row r="15" spans="2:10" ht="30" customHeight="1">
      <c r="B15" s="5"/>
      <c r="C15" s="6" t="s">
        <v>919</v>
      </c>
      <c r="D15" s="37" t="s">
        <v>1005</v>
      </c>
      <c r="E15" s="6" t="s">
        <v>97</v>
      </c>
      <c r="F15" s="85">
        <f>(0.7*0.7*0.8-0.4*0.4*0.769-0.535*0.535*0.031)*10</f>
        <v>2.600870249999999</v>
      </c>
      <c r="I15" s="32"/>
      <c r="J15" s="75"/>
    </row>
    <row r="16" spans="2:10" ht="30" customHeight="1">
      <c r="B16" s="5"/>
      <c r="C16" s="6" t="s">
        <v>921</v>
      </c>
      <c r="D16" s="37" t="s">
        <v>1006</v>
      </c>
      <c r="E16" s="6" t="s">
        <v>97</v>
      </c>
      <c r="F16" s="86">
        <f>(0.7*0.7*0.8-0.4*0.4*0.756-0.535*0.535*0.044)*10</f>
        <v>2.5844609999999997</v>
      </c>
      <c r="I16" s="32"/>
      <c r="J16" s="75"/>
    </row>
    <row r="17" spans="2:10" ht="30" customHeight="1">
      <c r="B17" s="5"/>
      <c r="C17" s="6" t="s">
        <v>923</v>
      </c>
      <c r="D17" s="37" t="s">
        <v>1007</v>
      </c>
      <c r="E17" s="6" t="s">
        <v>97</v>
      </c>
      <c r="F17" s="86">
        <f>(0.7*0.7*0.8-0.4*0.4*0.762-0.535*0.535*0.038)*10</f>
        <v>2.5920344999999996</v>
      </c>
      <c r="I17" s="32"/>
      <c r="J17" s="75"/>
    </row>
    <row r="18" spans="2:10" ht="30" customHeight="1">
      <c r="B18" s="5"/>
      <c r="C18" s="6" t="s">
        <v>925</v>
      </c>
      <c r="D18" s="37" t="s">
        <v>1008</v>
      </c>
      <c r="E18" s="6" t="s">
        <v>97</v>
      </c>
      <c r="F18" s="11">
        <f>(0.7*0.7*0.8-0.4*0.4*0.75-0.535*0.535*0.05)*10</f>
        <v>2.576887499999999</v>
      </c>
      <c r="I18" s="32"/>
      <c r="J18" s="75"/>
    </row>
    <row r="19" spans="2:10" ht="30" customHeight="1">
      <c r="B19" s="5" t="s">
        <v>320</v>
      </c>
      <c r="C19" s="6">
        <v>0</v>
      </c>
      <c r="D19" s="37"/>
      <c r="E19" s="6"/>
      <c r="F19" s="9"/>
      <c r="I19" s="32"/>
      <c r="J19" s="75"/>
    </row>
    <row r="20" spans="2:10" ht="30" customHeight="1">
      <c r="B20" s="5">
        <v>0</v>
      </c>
      <c r="C20" s="6" t="s">
        <v>917</v>
      </c>
      <c r="D20" s="10" t="s">
        <v>1009</v>
      </c>
      <c r="E20" s="6" t="s">
        <v>97</v>
      </c>
      <c r="F20" s="60">
        <f>(0.7*0.8*4+0.4*0.78*4)*10</f>
        <v>34.88</v>
      </c>
      <c r="I20" s="32"/>
      <c r="J20" s="75"/>
    </row>
    <row r="21" spans="2:10" ht="30" customHeight="1">
      <c r="B21" s="5">
        <v>0</v>
      </c>
      <c r="C21" s="6" t="s">
        <v>919</v>
      </c>
      <c r="D21" s="10" t="s">
        <v>1010</v>
      </c>
      <c r="E21" s="6" t="s">
        <v>97</v>
      </c>
      <c r="F21" s="60">
        <f>(0.7*0.8*4+0.4*0.769*4)*10</f>
        <v>34.70399999999999</v>
      </c>
      <c r="I21" s="32"/>
      <c r="J21" s="75"/>
    </row>
    <row r="22" spans="2:10" ht="30" customHeight="1">
      <c r="B22" s="5">
        <v>0</v>
      </c>
      <c r="C22" s="6" t="s">
        <v>921</v>
      </c>
      <c r="D22" s="10" t="s">
        <v>1011</v>
      </c>
      <c r="E22" s="6" t="s">
        <v>97</v>
      </c>
      <c r="F22" s="87">
        <f>(0.7*0.8*4+0.4*0.756*4)*10</f>
        <v>34.495999999999995</v>
      </c>
      <c r="I22" s="32"/>
      <c r="J22" s="75"/>
    </row>
    <row r="23" spans="2:10" ht="30" customHeight="1">
      <c r="B23" s="5">
        <v>0</v>
      </c>
      <c r="C23" s="6" t="s">
        <v>923</v>
      </c>
      <c r="D23" s="10" t="s">
        <v>1012</v>
      </c>
      <c r="E23" s="6" t="s">
        <v>97</v>
      </c>
      <c r="F23" s="87">
        <f>(0.7*0.8*4+0.4*0.762*4)*10</f>
        <v>34.592</v>
      </c>
      <c r="I23" s="32"/>
      <c r="J23" s="75"/>
    </row>
    <row r="24" spans="2:10" ht="30" customHeight="1">
      <c r="B24" s="5">
        <v>0</v>
      </c>
      <c r="C24" s="6" t="s">
        <v>925</v>
      </c>
      <c r="D24" s="10" t="s">
        <v>1013</v>
      </c>
      <c r="E24" s="6" t="s">
        <v>97</v>
      </c>
      <c r="F24" s="60">
        <f>(0.7*0.8*4+0.4*0.75*4)*10</f>
        <v>34.4</v>
      </c>
      <c r="I24" s="32"/>
      <c r="J24" s="75"/>
    </row>
    <row r="25" spans="2:10" ht="30" customHeight="1">
      <c r="B25" s="5"/>
      <c r="C25" s="6"/>
      <c r="D25" s="37"/>
      <c r="E25" s="6"/>
      <c r="F25" s="9"/>
      <c r="I25" s="32"/>
      <c r="J25" s="75"/>
    </row>
    <row r="26" spans="2:10" ht="30" customHeight="1">
      <c r="B26" s="5"/>
      <c r="C26" s="6"/>
      <c r="D26" s="37"/>
      <c r="E26" s="6"/>
      <c r="F26" s="9"/>
      <c r="I26" s="32"/>
      <c r="J26" s="75"/>
    </row>
    <row r="27" spans="2:10" ht="30" customHeight="1">
      <c r="B27" s="5"/>
      <c r="C27" s="6"/>
      <c r="D27" s="37"/>
      <c r="E27" s="13"/>
      <c r="F27" s="36"/>
      <c r="I27" s="32"/>
      <c r="J27" s="75"/>
    </row>
    <row r="28" spans="2:10" ht="30" customHeight="1">
      <c r="B28" s="5"/>
      <c r="C28" s="6"/>
      <c r="D28" s="37"/>
      <c r="E28" s="6"/>
      <c r="F28" s="41"/>
      <c r="I28" s="32"/>
      <c r="J28" s="75"/>
    </row>
    <row r="29" spans="2:10" ht="30" customHeight="1">
      <c r="B29" s="5"/>
      <c r="C29" s="6"/>
      <c r="D29" s="12"/>
      <c r="E29" s="13"/>
      <c r="F29" s="9"/>
      <c r="I29" s="32"/>
      <c r="J29" s="75"/>
    </row>
    <row r="30" spans="2:10" ht="30" customHeight="1" thickBot="1">
      <c r="B30" s="43"/>
      <c r="C30" s="44"/>
      <c r="D30" s="45"/>
      <c r="E30" s="44"/>
      <c r="F30" s="46"/>
      <c r="I30" s="32"/>
      <c r="J30" s="75"/>
    </row>
    <row r="32" spans="9:10" ht="13.5">
      <c r="I32" s="2"/>
      <c r="J32" s="47"/>
    </row>
    <row r="33" spans="1:4" ht="13.5">
      <c r="A33" s="22"/>
      <c r="B33" s="22"/>
      <c r="C33" s="22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9"/>
      <c r="D42" s="22"/>
    </row>
    <row r="43" spans="1:4" ht="13.5">
      <c r="A43" s="22"/>
      <c r="B43" s="50"/>
      <c r="C43" s="48"/>
      <c r="D43" s="22"/>
    </row>
    <row r="44" spans="1:4" ht="13.5">
      <c r="A44" s="22"/>
      <c r="B44" s="48"/>
      <c r="C44" s="49"/>
      <c r="D44" s="22"/>
    </row>
    <row r="45" spans="1:4" ht="13.5">
      <c r="A45" s="22"/>
      <c r="B45" s="22"/>
      <c r="C45" s="22"/>
      <c r="D45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3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1014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1015</v>
      </c>
      <c r="E7" s="6" t="s">
        <v>97</v>
      </c>
      <c r="F7" s="36">
        <f>((0.7+1)*(0.7+1)+2.64*2.64)*0.5*1*10</f>
        <v>49.298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934</v>
      </c>
      <c r="E8" s="6" t="s">
        <v>97</v>
      </c>
      <c r="F8" s="34">
        <f>49.3-5.1</f>
        <v>44.199999999999996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1016</v>
      </c>
      <c r="E9" s="6" t="s">
        <v>97</v>
      </c>
      <c r="F9" s="36">
        <f>(0.8*0.8*0.1+0.7*0.7*0.9)*10</f>
        <v>5.05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916</v>
      </c>
      <c r="E10" s="6" t="s">
        <v>393</v>
      </c>
      <c r="F10" s="36">
        <f>0.8*0.8*10</f>
        <v>6.400000000000001</v>
      </c>
      <c r="I10" s="32"/>
      <c r="J10" s="75"/>
    </row>
    <row r="11" spans="2:10" ht="30" customHeight="1">
      <c r="B11" s="5" t="s">
        <v>291</v>
      </c>
      <c r="C11" s="6" t="s">
        <v>292</v>
      </c>
      <c r="D11" s="3" t="s">
        <v>916</v>
      </c>
      <c r="E11" s="6" t="s">
        <v>393</v>
      </c>
      <c r="F11" s="9">
        <f>0.8*0.8*10</f>
        <v>6.400000000000001</v>
      </c>
      <c r="I11" s="32"/>
      <c r="J11" s="75"/>
    </row>
    <row r="12" spans="2:10" ht="30" customHeight="1">
      <c r="B12" s="5" t="s">
        <v>881</v>
      </c>
      <c r="C12" s="6" t="s">
        <v>882</v>
      </c>
      <c r="D12" s="76">
        <v>10</v>
      </c>
      <c r="E12" s="6" t="s">
        <v>602</v>
      </c>
      <c r="F12" s="40">
        <f>10</f>
        <v>10</v>
      </c>
      <c r="I12" s="32"/>
      <c r="J12" s="75"/>
    </row>
    <row r="13" spans="2:10" ht="30" customHeight="1">
      <c r="B13" s="5" t="s">
        <v>294</v>
      </c>
      <c r="C13" s="6" t="s">
        <v>295</v>
      </c>
      <c r="D13" s="3"/>
      <c r="E13" s="6"/>
      <c r="F13" s="9"/>
      <c r="I13" s="32"/>
      <c r="J13" s="75"/>
    </row>
    <row r="14" spans="2:10" ht="30" customHeight="1">
      <c r="B14" s="5"/>
      <c r="C14" s="6" t="s">
        <v>917</v>
      </c>
      <c r="D14" s="37" t="s">
        <v>1017</v>
      </c>
      <c r="E14" s="6" t="s">
        <v>97</v>
      </c>
      <c r="F14" s="9">
        <f>(0.7*0.7*0.9-0.4*0.4*0.88-0.5*0.5*0.02)*10</f>
        <v>2.951999999999999</v>
      </c>
      <c r="I14" s="32"/>
      <c r="J14" s="75"/>
    </row>
    <row r="15" spans="2:10" ht="30" customHeight="1">
      <c r="B15" s="5"/>
      <c r="C15" s="6" t="s">
        <v>919</v>
      </c>
      <c r="D15" s="37" t="s">
        <v>1018</v>
      </c>
      <c r="E15" s="6" t="s">
        <v>97</v>
      </c>
      <c r="F15" s="85">
        <f>(0.7*0.7*0.9-0.4*0.4*0.869-0.535*0.535*0.031)*10</f>
        <v>2.930870249999999</v>
      </c>
      <c r="I15" s="32"/>
      <c r="J15" s="75"/>
    </row>
    <row r="16" spans="2:10" ht="30" customHeight="1">
      <c r="B16" s="5"/>
      <c r="C16" s="6" t="s">
        <v>921</v>
      </c>
      <c r="D16" s="37" t="s">
        <v>1019</v>
      </c>
      <c r="E16" s="6" t="s">
        <v>97</v>
      </c>
      <c r="F16" s="86">
        <f>(0.7*0.7*0.9-0.4*0.4*0.856-0.535*0.535*0.044)*10</f>
        <v>2.9144609999999993</v>
      </c>
      <c r="I16" s="32"/>
      <c r="J16" s="75"/>
    </row>
    <row r="17" spans="2:10" ht="30" customHeight="1">
      <c r="B17" s="5"/>
      <c r="C17" s="6" t="s">
        <v>923</v>
      </c>
      <c r="D17" s="37" t="s">
        <v>1020</v>
      </c>
      <c r="E17" s="6" t="s">
        <v>97</v>
      </c>
      <c r="F17" s="86">
        <f>(0.7*0.7*0.9-0.4*0.4*0.862-0.535*0.535*0.038)*10</f>
        <v>2.922034499999999</v>
      </c>
      <c r="I17" s="32"/>
      <c r="J17" s="75"/>
    </row>
    <row r="18" spans="2:10" ht="30" customHeight="1">
      <c r="B18" s="5"/>
      <c r="C18" s="6" t="s">
        <v>925</v>
      </c>
      <c r="D18" s="37" t="s">
        <v>1021</v>
      </c>
      <c r="E18" s="6" t="s">
        <v>97</v>
      </c>
      <c r="F18" s="11">
        <f>(0.7*0.7*0.9-0.4*0.4*0.85-0.535*0.535*0.05)*10</f>
        <v>2.9068874999999994</v>
      </c>
      <c r="I18" s="32"/>
      <c r="J18" s="75"/>
    </row>
    <row r="19" spans="2:10" ht="30" customHeight="1">
      <c r="B19" s="5" t="s">
        <v>320</v>
      </c>
      <c r="C19" s="6">
        <v>0</v>
      </c>
      <c r="D19" s="37"/>
      <c r="E19" s="6"/>
      <c r="F19" s="9"/>
      <c r="I19" s="32"/>
      <c r="J19" s="75"/>
    </row>
    <row r="20" spans="2:10" ht="30" customHeight="1">
      <c r="B20" s="5">
        <v>0</v>
      </c>
      <c r="C20" s="6" t="s">
        <v>917</v>
      </c>
      <c r="D20" s="10" t="s">
        <v>1022</v>
      </c>
      <c r="E20" s="6" t="s">
        <v>97</v>
      </c>
      <c r="F20" s="60">
        <f>(0.7*0.9*4+0.4*0.88*4)*10</f>
        <v>39.28</v>
      </c>
      <c r="I20" s="32"/>
      <c r="J20" s="75"/>
    </row>
    <row r="21" spans="2:10" ht="30" customHeight="1">
      <c r="B21" s="5">
        <v>0</v>
      </c>
      <c r="C21" s="6" t="s">
        <v>919</v>
      </c>
      <c r="D21" s="10" t="s">
        <v>1023</v>
      </c>
      <c r="E21" s="6" t="s">
        <v>97</v>
      </c>
      <c r="F21" s="60">
        <f>(0.7*0.9*4+0.4*0.869*4)*10</f>
        <v>39.104</v>
      </c>
      <c r="I21" s="32"/>
      <c r="J21" s="75"/>
    </row>
    <row r="22" spans="2:10" ht="30" customHeight="1">
      <c r="B22" s="5">
        <v>0</v>
      </c>
      <c r="C22" s="6" t="s">
        <v>921</v>
      </c>
      <c r="D22" s="10" t="s">
        <v>1024</v>
      </c>
      <c r="E22" s="6" t="s">
        <v>97</v>
      </c>
      <c r="F22" s="87">
        <f>(0.7*0.9*4+0.4*0.856*4)*10</f>
        <v>38.896</v>
      </c>
      <c r="I22" s="32"/>
      <c r="J22" s="75"/>
    </row>
    <row r="23" spans="2:10" ht="30" customHeight="1">
      <c r="B23" s="5">
        <v>0</v>
      </c>
      <c r="C23" s="6" t="s">
        <v>923</v>
      </c>
      <c r="D23" s="10" t="s">
        <v>1025</v>
      </c>
      <c r="E23" s="6" t="s">
        <v>97</v>
      </c>
      <c r="F23" s="87">
        <f>(0.7*0.9*4+0.4*0.862*4)*10</f>
        <v>38.992</v>
      </c>
      <c r="I23" s="32"/>
      <c r="J23" s="75"/>
    </row>
    <row r="24" spans="2:10" ht="30" customHeight="1">
      <c r="B24" s="5">
        <v>0</v>
      </c>
      <c r="C24" s="6" t="s">
        <v>925</v>
      </c>
      <c r="D24" s="10" t="s">
        <v>1026</v>
      </c>
      <c r="E24" s="6" t="s">
        <v>97</v>
      </c>
      <c r="F24" s="60">
        <f>(0.7*0.9*4+0.4*0.85*4)*10</f>
        <v>38.8</v>
      </c>
      <c r="I24" s="32"/>
      <c r="J24" s="75"/>
    </row>
    <row r="25" spans="2:10" ht="30" customHeight="1">
      <c r="B25" s="5"/>
      <c r="C25" s="6"/>
      <c r="D25" s="37"/>
      <c r="E25" s="6"/>
      <c r="F25" s="9"/>
      <c r="I25" s="32"/>
      <c r="J25" s="75"/>
    </row>
    <row r="26" spans="2:10" ht="30" customHeight="1">
      <c r="B26" s="5"/>
      <c r="C26" s="6"/>
      <c r="D26" s="4"/>
      <c r="E26" s="6"/>
      <c r="F26" s="79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8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1027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1028</v>
      </c>
      <c r="E7" s="6" t="s">
        <v>97</v>
      </c>
      <c r="F7" s="36">
        <f>((0.8+1)*(0.8+1)+2.9*2.9)*0.5*1.1*10</f>
        <v>64.075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1029</v>
      </c>
      <c r="E8" s="6" t="s">
        <v>97</v>
      </c>
      <c r="F8" s="34">
        <f>64.1-7.2</f>
        <v>56.89999999999999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1030</v>
      </c>
      <c r="E9" s="6" t="s">
        <v>97</v>
      </c>
      <c r="F9" s="36">
        <f>(0.9*0.9*0.1+0.8*0.8*1)*10</f>
        <v>7.210000000000001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1031</v>
      </c>
      <c r="E10" s="6" t="s">
        <v>393</v>
      </c>
      <c r="F10" s="36">
        <f>0.9*0.9*10</f>
        <v>8.100000000000001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1031</v>
      </c>
      <c r="E11" s="6" t="s">
        <v>393</v>
      </c>
      <c r="F11" s="9">
        <f>0.9*0.9*10</f>
        <v>8.100000000000001</v>
      </c>
      <c r="I11" s="32"/>
      <c r="J11" s="75"/>
    </row>
    <row r="12" spans="2:10" ht="30" customHeight="1">
      <c r="B12" s="5" t="s">
        <v>881</v>
      </c>
      <c r="C12" s="6" t="s">
        <v>882</v>
      </c>
      <c r="D12" s="76">
        <v>10</v>
      </c>
      <c r="E12" s="6" t="s">
        <v>602</v>
      </c>
      <c r="F12" s="40">
        <f>10</f>
        <v>10</v>
      </c>
      <c r="I12" s="32"/>
      <c r="J12" s="75"/>
    </row>
    <row r="13" spans="2:10" ht="30" customHeight="1">
      <c r="B13" s="5" t="s">
        <v>294</v>
      </c>
      <c r="C13" s="6" t="s">
        <v>295</v>
      </c>
      <c r="D13" s="3"/>
      <c r="E13" s="6"/>
      <c r="F13" s="9"/>
      <c r="I13" s="32"/>
      <c r="J13" s="75"/>
    </row>
    <row r="14" spans="2:10" ht="30" customHeight="1">
      <c r="B14" s="5"/>
      <c r="C14" s="6" t="s">
        <v>951</v>
      </c>
      <c r="D14" s="37" t="s">
        <v>1032</v>
      </c>
      <c r="E14" s="6" t="s">
        <v>97</v>
      </c>
      <c r="F14" s="9">
        <f>(0.8*0.8*1-0.5*0.5*0.98-0.6*0.6*0.02)*10</f>
        <v>3.8780000000000014</v>
      </c>
      <c r="I14" s="32"/>
      <c r="J14" s="75"/>
    </row>
    <row r="15" spans="2:10" ht="30" customHeight="1">
      <c r="B15" s="5"/>
      <c r="C15" s="6" t="s">
        <v>953</v>
      </c>
      <c r="D15" s="37" t="s">
        <v>1033</v>
      </c>
      <c r="E15" s="6" t="s">
        <v>97</v>
      </c>
      <c r="F15" s="85">
        <f>(0.8*0.8*1-0.5*0.5*0.962-0.625*0.625*0.038)*10</f>
        <v>3.8465625000000014</v>
      </c>
      <c r="I15" s="32"/>
      <c r="J15" s="75"/>
    </row>
    <row r="16" spans="2:10" ht="30" customHeight="1">
      <c r="B16" s="5"/>
      <c r="C16" s="6" t="s">
        <v>955</v>
      </c>
      <c r="D16" s="37" t="s">
        <v>1034</v>
      </c>
      <c r="E16" s="6" t="s">
        <v>97</v>
      </c>
      <c r="F16" s="86">
        <f>(0.8*0.8*1-0.5*0.5*0.956-0.625*0.625*0.044)*10</f>
        <v>3.838125000000001</v>
      </c>
      <c r="I16" s="32"/>
      <c r="J16" s="75"/>
    </row>
    <row r="17" spans="2:10" ht="30" customHeight="1">
      <c r="B17" s="5"/>
      <c r="C17" s="6" t="s">
        <v>957</v>
      </c>
      <c r="D17" s="37" t="s">
        <v>1034</v>
      </c>
      <c r="E17" s="6" t="s">
        <v>97</v>
      </c>
      <c r="F17" s="86">
        <f>(0.8*0.8*1-0.5*0.5*0.956-0.625*0.625*0.044)*10</f>
        <v>3.838125000000001</v>
      </c>
      <c r="I17" s="32"/>
      <c r="J17" s="75"/>
    </row>
    <row r="18" spans="2:10" ht="30" customHeight="1">
      <c r="B18" s="5"/>
      <c r="C18" s="6" t="s">
        <v>958</v>
      </c>
      <c r="D18" s="37" t="s">
        <v>1035</v>
      </c>
      <c r="E18" s="6" t="s">
        <v>97</v>
      </c>
      <c r="F18" s="11">
        <f>(0.8*0.8*1-0.5*0.5*0.944-0.63*0.63*0.056)*10</f>
        <v>3.817736000000002</v>
      </c>
      <c r="I18" s="32"/>
      <c r="J18" s="75"/>
    </row>
    <row r="19" spans="2:10" ht="30" customHeight="1">
      <c r="B19" s="5" t="s">
        <v>320</v>
      </c>
      <c r="C19" s="6">
        <v>0</v>
      </c>
      <c r="D19" s="37"/>
      <c r="E19" s="6"/>
      <c r="F19" s="9"/>
      <c r="I19" s="32"/>
      <c r="J19" s="75"/>
    </row>
    <row r="20" spans="2:10" ht="30" customHeight="1">
      <c r="B20" s="5">
        <v>0</v>
      </c>
      <c r="C20" s="6" t="s">
        <v>951</v>
      </c>
      <c r="D20" s="10" t="s">
        <v>1036</v>
      </c>
      <c r="E20" s="6" t="s">
        <v>97</v>
      </c>
      <c r="F20" s="60">
        <f>(0.8*1*4+0.5*0.98*4)*10</f>
        <v>51.6</v>
      </c>
      <c r="I20" s="32"/>
      <c r="J20" s="75"/>
    </row>
    <row r="21" spans="2:10" ht="30" customHeight="1">
      <c r="B21" s="5">
        <v>0</v>
      </c>
      <c r="C21" s="6" t="s">
        <v>953</v>
      </c>
      <c r="D21" s="10" t="s">
        <v>1037</v>
      </c>
      <c r="E21" s="6" t="s">
        <v>97</v>
      </c>
      <c r="F21" s="60">
        <f>(0.8*1*4+0.5*0.962*4)*10</f>
        <v>51.24000000000001</v>
      </c>
      <c r="I21" s="32"/>
      <c r="J21" s="75"/>
    </row>
    <row r="22" spans="2:10" ht="30" customHeight="1">
      <c r="B22" s="5">
        <v>0</v>
      </c>
      <c r="C22" s="6" t="s">
        <v>955</v>
      </c>
      <c r="D22" s="10" t="s">
        <v>1038</v>
      </c>
      <c r="E22" s="6" t="s">
        <v>97</v>
      </c>
      <c r="F22" s="87">
        <f>(0.8*1*4+0.5*0.956*4)*10</f>
        <v>51.120000000000005</v>
      </c>
      <c r="I22" s="32"/>
      <c r="J22" s="75"/>
    </row>
    <row r="23" spans="2:10" ht="30" customHeight="1">
      <c r="B23" s="5">
        <v>0</v>
      </c>
      <c r="C23" s="6" t="s">
        <v>957</v>
      </c>
      <c r="D23" s="10" t="s">
        <v>1038</v>
      </c>
      <c r="E23" s="6" t="s">
        <v>97</v>
      </c>
      <c r="F23" s="87">
        <f>(0.8*1*4+0.5*0.956*4)*10</f>
        <v>51.120000000000005</v>
      </c>
      <c r="I23" s="32"/>
      <c r="J23" s="75"/>
    </row>
    <row r="24" spans="2:10" ht="30" customHeight="1">
      <c r="B24" s="5">
        <v>0</v>
      </c>
      <c r="C24" s="6" t="s">
        <v>958</v>
      </c>
      <c r="D24" s="10" t="s">
        <v>1039</v>
      </c>
      <c r="E24" s="6" t="s">
        <v>97</v>
      </c>
      <c r="F24" s="60">
        <f>(0.8*1*4+0.5*0.944*4)*10</f>
        <v>50.88</v>
      </c>
      <c r="I24" s="32"/>
      <c r="J24" s="75"/>
    </row>
    <row r="25" spans="2:10" ht="30" customHeight="1">
      <c r="B25" s="5"/>
      <c r="C25" s="6"/>
      <c r="D25" s="37"/>
      <c r="E25" s="6"/>
      <c r="F25" s="9"/>
      <c r="I25" s="32"/>
      <c r="J25" s="75"/>
    </row>
    <row r="26" spans="2:10" ht="30" customHeight="1">
      <c r="B26" s="5"/>
      <c r="C26" s="6"/>
      <c r="D26" s="4"/>
      <c r="E26" s="6"/>
      <c r="F26" s="79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0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1040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966</v>
      </c>
      <c r="E7" s="6" t="s">
        <v>97</v>
      </c>
      <c r="F7" s="36">
        <f>(1.8*1.8+3*3)*0.5*1.2*10</f>
        <v>73.44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967</v>
      </c>
      <c r="E8" s="6" t="s">
        <v>97</v>
      </c>
      <c r="F8" s="34">
        <f>73.4-7.9</f>
        <v>65.5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968</v>
      </c>
      <c r="E9" s="6" t="s">
        <v>97</v>
      </c>
      <c r="F9" s="36">
        <f>(0.9*0.9*0.1+0.8*0.8*1.1)*10</f>
        <v>7.850000000000001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950</v>
      </c>
      <c r="E10" s="6" t="s">
        <v>393</v>
      </c>
      <c r="F10" s="36">
        <f>0.9*0.9*10</f>
        <v>8.100000000000001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950</v>
      </c>
      <c r="E11" s="6" t="s">
        <v>393</v>
      </c>
      <c r="F11" s="9">
        <f>0.9*0.9*10</f>
        <v>8.100000000000001</v>
      </c>
      <c r="I11" s="32"/>
      <c r="J11" s="75"/>
    </row>
    <row r="12" spans="2:10" ht="30" customHeight="1">
      <c r="B12" s="5" t="s">
        <v>881</v>
      </c>
      <c r="C12" s="6" t="s">
        <v>882</v>
      </c>
      <c r="D12" s="76">
        <v>10</v>
      </c>
      <c r="E12" s="6" t="s">
        <v>602</v>
      </c>
      <c r="F12" s="40">
        <f>10</f>
        <v>10</v>
      </c>
      <c r="I12" s="32"/>
      <c r="J12" s="75"/>
    </row>
    <row r="13" spans="2:10" ht="30" customHeight="1">
      <c r="B13" s="5" t="s">
        <v>294</v>
      </c>
      <c r="C13" s="6" t="s">
        <v>295</v>
      </c>
      <c r="D13" s="3"/>
      <c r="E13" s="6"/>
      <c r="F13" s="9"/>
      <c r="I13" s="32"/>
      <c r="J13" s="75"/>
    </row>
    <row r="14" spans="2:10" ht="30" customHeight="1">
      <c r="B14" s="5"/>
      <c r="C14" s="6" t="s">
        <v>951</v>
      </c>
      <c r="D14" s="37" t="s">
        <v>1041</v>
      </c>
      <c r="E14" s="6" t="s">
        <v>97</v>
      </c>
      <c r="F14" s="9">
        <f>(0.8*0.8*1.1-0.5*0.5*1.08-0.6*0.6*0.02)*10</f>
        <v>4.268000000000002</v>
      </c>
      <c r="I14" s="32"/>
      <c r="J14" s="75"/>
    </row>
    <row r="15" spans="2:10" ht="30" customHeight="1">
      <c r="B15" s="5"/>
      <c r="C15" s="6" t="s">
        <v>953</v>
      </c>
      <c r="D15" s="37" t="s">
        <v>1042</v>
      </c>
      <c r="E15" s="6" t="s">
        <v>97</v>
      </c>
      <c r="F15" s="85">
        <f>(0.8*0.8*1.1-0.5*0.5*1.062-0.625*0.625*0.038)*10</f>
        <v>4.236562500000002</v>
      </c>
      <c r="I15" s="32"/>
      <c r="J15" s="75"/>
    </row>
    <row r="16" spans="2:10" ht="30" customHeight="1">
      <c r="B16" s="5"/>
      <c r="C16" s="6" t="s">
        <v>955</v>
      </c>
      <c r="D16" s="37" t="s">
        <v>1043</v>
      </c>
      <c r="E16" s="6" t="s">
        <v>97</v>
      </c>
      <c r="F16" s="86">
        <f>(0.8*0.8*1.1-0.5*0.5*1.056-0.625*0.625*0.044)*10</f>
        <v>4.228125000000001</v>
      </c>
      <c r="I16" s="32"/>
      <c r="J16" s="75"/>
    </row>
    <row r="17" spans="2:10" ht="30" customHeight="1">
      <c r="B17" s="5"/>
      <c r="C17" s="6" t="s">
        <v>957</v>
      </c>
      <c r="D17" s="37" t="s">
        <v>1043</v>
      </c>
      <c r="E17" s="6" t="s">
        <v>97</v>
      </c>
      <c r="F17" s="86">
        <f>(0.8*0.8*1.1-0.5*0.5*1.056-0.625*0.625*0.044)*10</f>
        <v>4.228125000000001</v>
      </c>
      <c r="I17" s="32"/>
      <c r="J17" s="75"/>
    </row>
    <row r="18" spans="2:10" ht="30" customHeight="1">
      <c r="B18" s="5"/>
      <c r="C18" s="6" t="s">
        <v>958</v>
      </c>
      <c r="D18" s="37" t="s">
        <v>1044</v>
      </c>
      <c r="E18" s="6" t="s">
        <v>97</v>
      </c>
      <c r="F18" s="11">
        <f>(0.8*0.8*1.1-0.5*0.5*1.044-0.63*0.63*0.056)*10</f>
        <v>4.207736000000002</v>
      </c>
      <c r="I18" s="32"/>
      <c r="J18" s="75"/>
    </row>
    <row r="19" spans="2:10" ht="30" customHeight="1">
      <c r="B19" s="5" t="s">
        <v>320</v>
      </c>
      <c r="C19" s="6">
        <v>0</v>
      </c>
      <c r="D19" s="37"/>
      <c r="E19" s="6"/>
      <c r="F19" s="9"/>
      <c r="I19" s="32"/>
      <c r="J19" s="75"/>
    </row>
    <row r="20" spans="2:10" ht="30" customHeight="1">
      <c r="B20" s="5">
        <v>0</v>
      </c>
      <c r="C20" s="6" t="s">
        <v>951</v>
      </c>
      <c r="D20" s="10" t="s">
        <v>1045</v>
      </c>
      <c r="E20" s="6" t="s">
        <v>97</v>
      </c>
      <c r="F20" s="60">
        <f>(0.8*1.1*4+0.5*1.08*4)*10</f>
        <v>56.800000000000004</v>
      </c>
      <c r="I20" s="32"/>
      <c r="J20" s="75"/>
    </row>
    <row r="21" spans="2:10" ht="30" customHeight="1">
      <c r="B21" s="5">
        <v>0</v>
      </c>
      <c r="C21" s="6" t="s">
        <v>953</v>
      </c>
      <c r="D21" s="10" t="s">
        <v>1046</v>
      </c>
      <c r="E21" s="6" t="s">
        <v>97</v>
      </c>
      <c r="F21" s="60">
        <f>(0.8*1.1*4+0.5*1.062*4)*10</f>
        <v>56.44</v>
      </c>
      <c r="I21" s="32"/>
      <c r="J21" s="75"/>
    </row>
    <row r="22" spans="2:10" ht="30" customHeight="1">
      <c r="B22" s="5">
        <v>0</v>
      </c>
      <c r="C22" s="6" t="s">
        <v>955</v>
      </c>
      <c r="D22" s="10" t="s">
        <v>1047</v>
      </c>
      <c r="E22" s="6" t="s">
        <v>97</v>
      </c>
      <c r="F22" s="87">
        <f>(0.8*1.1*4+0.5*1.056*4)*10</f>
        <v>56.32000000000001</v>
      </c>
      <c r="I22" s="32"/>
      <c r="J22" s="75"/>
    </row>
    <row r="23" spans="2:10" ht="30" customHeight="1">
      <c r="B23" s="5">
        <v>0</v>
      </c>
      <c r="C23" s="6" t="s">
        <v>957</v>
      </c>
      <c r="D23" s="10" t="s">
        <v>1047</v>
      </c>
      <c r="E23" s="6" t="s">
        <v>97</v>
      </c>
      <c r="F23" s="87">
        <f>(0.8*1.1*4+0.5*1.056*4)*10</f>
        <v>56.32000000000001</v>
      </c>
      <c r="I23" s="32"/>
      <c r="J23" s="75"/>
    </row>
    <row r="24" spans="2:10" ht="30" customHeight="1">
      <c r="B24" s="5">
        <v>0</v>
      </c>
      <c r="C24" s="6" t="s">
        <v>958</v>
      </c>
      <c r="D24" s="10" t="s">
        <v>1048</v>
      </c>
      <c r="E24" s="6" t="s">
        <v>97</v>
      </c>
      <c r="F24" s="60">
        <f>(0.8*1.1*4+0.5*1.044*4)*10</f>
        <v>56.080000000000005</v>
      </c>
      <c r="I24" s="32"/>
      <c r="J24" s="75"/>
    </row>
    <row r="25" spans="2:10" ht="30" customHeight="1">
      <c r="B25" s="5"/>
      <c r="C25" s="6"/>
      <c r="D25" s="37"/>
      <c r="E25" s="6"/>
      <c r="F25" s="9"/>
      <c r="I25" s="32"/>
      <c r="J25" s="75"/>
    </row>
    <row r="26" spans="2:10" ht="30" customHeight="1">
      <c r="B26" s="5"/>
      <c r="C26" s="6"/>
      <c r="D26" s="4"/>
      <c r="E26" s="6"/>
      <c r="F26" s="79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4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206</v>
      </c>
      <c r="C3" s="20"/>
      <c r="D3" s="21"/>
      <c r="E3" s="22"/>
      <c r="F3" s="23"/>
    </row>
    <row r="4" spans="2:6" ht="30" customHeight="1">
      <c r="B4" s="61" t="s">
        <v>225</v>
      </c>
      <c r="C4" s="25"/>
      <c r="D4" s="25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7" t="s">
        <v>117</v>
      </c>
      <c r="E7" s="6" t="s">
        <v>97</v>
      </c>
      <c r="F7" s="36">
        <f>(0.25+0.4)*(0.25+0.4)*0.63*10</f>
        <v>2.6617500000000005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118</v>
      </c>
      <c r="E8" s="6" t="s">
        <v>97</v>
      </c>
      <c r="F8" s="36">
        <f>2.7-0.5</f>
        <v>2.2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173</v>
      </c>
      <c r="E9" s="6" t="s">
        <v>97</v>
      </c>
      <c r="F9" s="36">
        <f>(0.35*0.35*0.1+0.25*0.25*0.53)*10</f>
        <v>0.45375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96</v>
      </c>
      <c r="E10" s="6" t="s">
        <v>393</v>
      </c>
      <c r="F10" s="36">
        <f>0.35*0.35*10</f>
        <v>1.2249999999999999</v>
      </c>
      <c r="I10" s="32"/>
      <c r="J10" s="33"/>
    </row>
    <row r="11" spans="2:10" ht="30" customHeight="1">
      <c r="B11" s="5" t="s">
        <v>291</v>
      </c>
      <c r="C11" s="6" t="s">
        <v>292</v>
      </c>
      <c r="D11" s="3" t="s">
        <v>96</v>
      </c>
      <c r="E11" s="6" t="s">
        <v>393</v>
      </c>
      <c r="F11" s="9">
        <f>0.35*0.35*10</f>
        <v>1.2249999999999999</v>
      </c>
      <c r="I11" s="32"/>
      <c r="J11" s="33"/>
    </row>
    <row r="12" spans="2:10" ht="30" customHeight="1">
      <c r="B12" s="5" t="s">
        <v>301</v>
      </c>
      <c r="C12" s="6" t="s">
        <v>302</v>
      </c>
      <c r="D12" s="37" t="s">
        <v>161</v>
      </c>
      <c r="E12" s="6" t="s">
        <v>97</v>
      </c>
      <c r="F12" s="38">
        <f>0.25*0.25*0.03*10</f>
        <v>0.01875</v>
      </c>
      <c r="I12" s="32"/>
      <c r="J12" s="33"/>
    </row>
    <row r="13" spans="2:10" ht="30" customHeight="1">
      <c r="B13" s="42" t="s">
        <v>330</v>
      </c>
      <c r="C13" s="13" t="s">
        <v>351</v>
      </c>
      <c r="D13" s="37">
        <v>10</v>
      </c>
      <c r="E13" s="13" t="s">
        <v>395</v>
      </c>
      <c r="F13" s="72">
        <f>10</f>
        <v>10</v>
      </c>
      <c r="I13" s="32"/>
      <c r="J13" s="33"/>
    </row>
    <row r="14" spans="1:6" ht="39.75" customHeight="1">
      <c r="A14" s="18"/>
      <c r="B14" s="63" t="s">
        <v>88</v>
      </c>
      <c r="C14" s="64"/>
      <c r="D14" s="65"/>
      <c r="E14" s="66"/>
      <c r="F14" s="67"/>
    </row>
    <row r="15" spans="2:6" ht="30" customHeight="1">
      <c r="B15" s="61" t="s">
        <v>225</v>
      </c>
      <c r="C15" s="25"/>
      <c r="D15" s="25"/>
      <c r="E15" s="7">
        <v>10</v>
      </c>
      <c r="F15" s="8" t="s">
        <v>162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10" t="s">
        <v>89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321</v>
      </c>
      <c r="C20" s="6" t="s">
        <v>297</v>
      </c>
      <c r="D20" s="12"/>
      <c r="E20" s="13"/>
      <c r="F20" s="9"/>
      <c r="I20" s="32"/>
      <c r="J20" s="33"/>
    </row>
    <row r="21" spans="2:10" ht="30" customHeight="1">
      <c r="B21" s="5" t="s">
        <v>354</v>
      </c>
      <c r="C21" s="6" t="s">
        <v>339</v>
      </c>
      <c r="D21" s="3" t="s">
        <v>102</v>
      </c>
      <c r="E21" s="6" t="s">
        <v>97</v>
      </c>
      <c r="F21" s="38">
        <f>(0.165*0.165*3.14/4*0.5-0.0605*0.0605*3.14/4*0.3)*5</f>
        <v>0.049119118125</v>
      </c>
      <c r="I21" s="32"/>
      <c r="J21" s="33"/>
    </row>
    <row r="22" spans="2:10" ht="30" customHeight="1">
      <c r="B22" s="5" t="s">
        <v>355</v>
      </c>
      <c r="C22" s="6" t="s">
        <v>339</v>
      </c>
      <c r="D22" s="3" t="s">
        <v>102</v>
      </c>
      <c r="E22" s="6" t="s">
        <v>97</v>
      </c>
      <c r="F22" s="38">
        <f>(0.165*0.165*3.14/4*0.5-0.0605*0.0605*3.14/4*0.3)*5</f>
        <v>0.049119118125</v>
      </c>
      <c r="I22" s="32"/>
      <c r="J22" s="33"/>
    </row>
    <row r="23" spans="2:10" ht="30" customHeight="1">
      <c r="B23" s="5"/>
      <c r="C23" s="6"/>
      <c r="D23" s="3"/>
      <c r="E23" s="6"/>
      <c r="F23" s="38"/>
      <c r="I23" s="32"/>
      <c r="J23" s="33"/>
    </row>
    <row r="24" spans="2:10" ht="30" customHeight="1">
      <c r="B24" s="5"/>
      <c r="C24" s="6"/>
      <c r="D24" s="3"/>
      <c r="E24" s="6"/>
      <c r="F24" s="38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SUM(J9:J32)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4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1304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1049</v>
      </c>
      <c r="E7" s="6" t="s">
        <v>97</v>
      </c>
      <c r="F7" s="36">
        <f>0.6*0.6*3.14/4*1.3*10</f>
        <v>3.6738000000000004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1050</v>
      </c>
      <c r="E8" s="6" t="s">
        <v>97</v>
      </c>
      <c r="F8" s="34">
        <f>3.7-3.4</f>
        <v>0.30000000000000027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1051</v>
      </c>
      <c r="E9" s="6" t="s">
        <v>97</v>
      </c>
      <c r="F9" s="36">
        <f>(0.6*0.6*3.14/4*1.2+0.2*0.2*3.14/4*0.1)*10</f>
        <v>3.4226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6</v>
      </c>
      <c r="E10" s="6" t="s">
        <v>393</v>
      </c>
      <c r="F10" s="36">
        <f>0.6*0.6*3.14/4*10</f>
        <v>2.826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6</v>
      </c>
      <c r="E11" s="6" t="s">
        <v>393</v>
      </c>
      <c r="F11" s="62">
        <f>0.6*0.6*3.14/4*10</f>
        <v>2.826</v>
      </c>
      <c r="I11" s="32"/>
      <c r="J11" s="80"/>
    </row>
    <row r="12" spans="2:10" ht="30" customHeight="1">
      <c r="B12" s="5" t="s">
        <v>305</v>
      </c>
      <c r="C12" s="6" t="s">
        <v>1052</v>
      </c>
      <c r="D12" s="37" t="s">
        <v>1053</v>
      </c>
      <c r="E12" s="6" t="s">
        <v>397</v>
      </c>
      <c r="F12" s="62">
        <f>1.1*10</f>
        <v>11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1055</v>
      </c>
      <c r="E13" s="6" t="s">
        <v>97</v>
      </c>
      <c r="F13" s="77">
        <f>(0.6*0.6*3.14/4*1.1-0.15*0.15*3.14/4*0.8)*10</f>
        <v>2.9673000000000007</v>
      </c>
      <c r="I13" s="32"/>
      <c r="J13" s="80"/>
    </row>
    <row r="14" spans="2:10" ht="30" customHeight="1">
      <c r="B14" s="5" t="s">
        <v>327</v>
      </c>
      <c r="C14" s="6" t="s">
        <v>297</v>
      </c>
      <c r="D14" s="4" t="s">
        <v>1056</v>
      </c>
      <c r="E14" s="6" t="s">
        <v>97</v>
      </c>
      <c r="F14" s="68">
        <f>(0.25*0.25-0.15*0.15)*3.14/4*0.1*10</f>
        <v>0.031400000000000004</v>
      </c>
      <c r="I14" s="32"/>
      <c r="J14" s="80"/>
    </row>
    <row r="15" spans="2:10" ht="30" customHeight="1">
      <c r="B15" s="5" t="s">
        <v>1057</v>
      </c>
      <c r="C15" s="6" t="s">
        <v>1058</v>
      </c>
      <c r="D15" s="37">
        <v>10</v>
      </c>
      <c r="E15" s="6" t="s">
        <v>398</v>
      </c>
      <c r="F15" s="77">
        <f>10</f>
        <v>10</v>
      </c>
      <c r="I15" s="32"/>
      <c r="J15" s="80"/>
    </row>
    <row r="16" spans="2:10" ht="30" customHeight="1">
      <c r="B16" s="5" t="s">
        <v>1059</v>
      </c>
      <c r="C16" s="6" t="s">
        <v>1060</v>
      </c>
      <c r="D16" s="78">
        <v>10</v>
      </c>
      <c r="E16" s="6" t="s">
        <v>395</v>
      </c>
      <c r="F16" s="77">
        <f>10</f>
        <v>10</v>
      </c>
      <c r="I16" s="32"/>
      <c r="J16" s="80"/>
    </row>
    <row r="17" spans="2:10" ht="30" customHeight="1">
      <c r="B17" s="5" t="s">
        <v>1061</v>
      </c>
      <c r="C17" s="6" t="s">
        <v>1062</v>
      </c>
      <c r="D17" s="78">
        <v>10</v>
      </c>
      <c r="E17" s="6" t="s">
        <v>395</v>
      </c>
      <c r="F17" s="77">
        <f>10</f>
        <v>10</v>
      </c>
      <c r="I17" s="32"/>
      <c r="J17" s="80"/>
    </row>
    <row r="18" spans="2:10" ht="30" customHeight="1">
      <c r="B18" s="5">
        <v>0</v>
      </c>
      <c r="C18" s="6" t="s">
        <v>1063</v>
      </c>
      <c r="D18" s="78">
        <v>10</v>
      </c>
      <c r="E18" s="6" t="s">
        <v>395</v>
      </c>
      <c r="F18" s="77">
        <f>10</f>
        <v>10</v>
      </c>
      <c r="I18" s="32"/>
      <c r="J18" s="80"/>
    </row>
    <row r="19" spans="2:10" ht="30" customHeight="1">
      <c r="B19" s="5">
        <v>0</v>
      </c>
      <c r="C19" s="6" t="s">
        <v>1064</v>
      </c>
      <c r="D19" s="78">
        <v>10</v>
      </c>
      <c r="E19" s="6" t="s">
        <v>395</v>
      </c>
      <c r="F19" s="77">
        <f>10</f>
        <v>10</v>
      </c>
      <c r="I19" s="32"/>
      <c r="J19" s="80"/>
    </row>
    <row r="20" spans="2:10" ht="30" customHeight="1">
      <c r="B20" s="5">
        <v>0</v>
      </c>
      <c r="C20" s="6" t="s">
        <v>1065</v>
      </c>
      <c r="D20" s="78">
        <v>20</v>
      </c>
      <c r="E20" s="6" t="s">
        <v>395</v>
      </c>
      <c r="F20" s="77">
        <f>20</f>
        <v>20</v>
      </c>
      <c r="I20" s="32"/>
      <c r="J20" s="80"/>
    </row>
    <row r="21" spans="2:10" ht="30" customHeight="1">
      <c r="B21" s="5" t="s">
        <v>1066</v>
      </c>
      <c r="C21" s="88" t="s">
        <v>1067</v>
      </c>
      <c r="D21" s="78">
        <v>10</v>
      </c>
      <c r="E21" s="6" t="s">
        <v>395</v>
      </c>
      <c r="F21" s="77">
        <f>10</f>
        <v>10</v>
      </c>
      <c r="I21" s="32"/>
      <c r="J21" s="80"/>
    </row>
    <row r="22" spans="2:10" ht="30" customHeight="1">
      <c r="B22" s="5">
        <v>0</v>
      </c>
      <c r="C22" s="88" t="s">
        <v>1068</v>
      </c>
      <c r="D22" s="78">
        <v>10</v>
      </c>
      <c r="E22" s="6" t="s">
        <v>395</v>
      </c>
      <c r="F22" s="77">
        <f>10</f>
        <v>10</v>
      </c>
      <c r="I22" s="32"/>
      <c r="J22" s="80"/>
    </row>
    <row r="23" spans="2:10" ht="30" customHeight="1">
      <c r="B23" s="5">
        <v>0</v>
      </c>
      <c r="C23" s="6" t="s">
        <v>1069</v>
      </c>
      <c r="D23" s="78">
        <v>10</v>
      </c>
      <c r="E23" s="6" t="s">
        <v>395</v>
      </c>
      <c r="F23" s="77">
        <f>10</f>
        <v>10</v>
      </c>
      <c r="I23" s="32"/>
      <c r="J23" s="80"/>
    </row>
    <row r="24" spans="2:10" ht="30" customHeight="1">
      <c r="B24" s="5">
        <v>0</v>
      </c>
      <c r="C24" s="6" t="s">
        <v>1070</v>
      </c>
      <c r="D24" s="78">
        <v>10</v>
      </c>
      <c r="E24" s="6" t="s">
        <v>395</v>
      </c>
      <c r="F24" s="77">
        <f>10</f>
        <v>10</v>
      </c>
      <c r="I24" s="32"/>
      <c r="J24" s="80"/>
    </row>
    <row r="25" spans="2:10" ht="30" customHeight="1">
      <c r="B25" s="5" t="s">
        <v>1071</v>
      </c>
      <c r="C25" s="6">
        <v>0</v>
      </c>
      <c r="D25" s="78">
        <v>10</v>
      </c>
      <c r="E25" s="6" t="s">
        <v>395</v>
      </c>
      <c r="F25" s="77">
        <f>10</f>
        <v>10</v>
      </c>
      <c r="I25" s="32"/>
      <c r="J25" s="80"/>
    </row>
    <row r="26" spans="2:10" ht="30" customHeight="1">
      <c r="B26" s="5" t="s">
        <v>1072</v>
      </c>
      <c r="C26" s="6">
        <v>0</v>
      </c>
      <c r="D26" s="78">
        <v>10</v>
      </c>
      <c r="E26" s="6" t="s">
        <v>395</v>
      </c>
      <c r="F26" s="77">
        <f>10</f>
        <v>10</v>
      </c>
      <c r="I26" s="32"/>
      <c r="J26" s="80"/>
    </row>
    <row r="27" spans="2:10" ht="30" customHeight="1">
      <c r="B27" s="5" t="s">
        <v>1073</v>
      </c>
      <c r="C27" s="6" t="s">
        <v>1074</v>
      </c>
      <c r="D27" s="78" t="s">
        <v>1075</v>
      </c>
      <c r="E27" s="6" t="s">
        <v>397</v>
      </c>
      <c r="F27" s="77">
        <f>5*2*10</f>
        <v>100</v>
      </c>
      <c r="I27" s="32"/>
      <c r="J27" s="80"/>
    </row>
    <row r="28" spans="2:10" ht="30" customHeight="1">
      <c r="B28" s="5" t="s">
        <v>1076</v>
      </c>
      <c r="C28" s="6" t="s">
        <v>1077</v>
      </c>
      <c r="D28" s="78">
        <v>10</v>
      </c>
      <c r="E28" s="6" t="s">
        <v>1078</v>
      </c>
      <c r="F28" s="77">
        <f>10</f>
        <v>10</v>
      </c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4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1303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1079</v>
      </c>
      <c r="E7" s="6" t="s">
        <v>97</v>
      </c>
      <c r="F7" s="36">
        <f>0.6*0.6*3.14/4*1.3*10</f>
        <v>3.6738000000000004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1080</v>
      </c>
      <c r="E8" s="6" t="s">
        <v>97</v>
      </c>
      <c r="F8" s="34">
        <f>3.7-3.4</f>
        <v>0.30000000000000027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1081</v>
      </c>
      <c r="E9" s="6" t="s">
        <v>97</v>
      </c>
      <c r="F9" s="36">
        <f>(0.6*0.6*3.14/4*1.2+0.2*0.2*3.14/4*0.1)*10</f>
        <v>3.4226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6</v>
      </c>
      <c r="E10" s="6" t="s">
        <v>393</v>
      </c>
      <c r="F10" s="36">
        <f>0.6*0.6*3.14/4*10</f>
        <v>2.826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1082</v>
      </c>
      <c r="E11" s="6" t="s">
        <v>393</v>
      </c>
      <c r="F11" s="62">
        <f>0.6*0.6*3.14/4*10</f>
        <v>2.826</v>
      </c>
      <c r="I11" s="32"/>
      <c r="J11" s="80"/>
    </row>
    <row r="12" spans="2:10" ht="30" customHeight="1">
      <c r="B12" s="5" t="s">
        <v>305</v>
      </c>
      <c r="C12" s="6" t="s">
        <v>1052</v>
      </c>
      <c r="D12" s="37" t="s">
        <v>1083</v>
      </c>
      <c r="E12" s="6" t="s">
        <v>397</v>
      </c>
      <c r="F12" s="62">
        <f>1.1*10</f>
        <v>11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1054</v>
      </c>
      <c r="E13" s="6" t="s">
        <v>97</v>
      </c>
      <c r="F13" s="77">
        <f>(0.6*0.6*3.14/4*1.1-0.15*0.15*3.14/4*0.8)*10</f>
        <v>2.9673000000000007</v>
      </c>
      <c r="I13" s="32"/>
      <c r="J13" s="80"/>
    </row>
    <row r="14" spans="2:10" ht="30" customHeight="1">
      <c r="B14" s="5" t="s">
        <v>327</v>
      </c>
      <c r="C14" s="6" t="s">
        <v>297</v>
      </c>
      <c r="D14" s="4" t="s">
        <v>1084</v>
      </c>
      <c r="E14" s="6" t="s">
        <v>97</v>
      </c>
      <c r="F14" s="68">
        <f>(0.25*0.25-0.15*0.15)*3.14/4*0.1*10</f>
        <v>0.031400000000000004</v>
      </c>
      <c r="I14" s="32"/>
      <c r="J14" s="80"/>
    </row>
    <row r="15" spans="2:10" ht="30" customHeight="1">
      <c r="B15" s="5" t="s">
        <v>1057</v>
      </c>
      <c r="C15" s="6" t="s">
        <v>1058</v>
      </c>
      <c r="D15" s="37">
        <v>10</v>
      </c>
      <c r="E15" s="6" t="s">
        <v>398</v>
      </c>
      <c r="F15" s="77">
        <f>10</f>
        <v>10</v>
      </c>
      <c r="I15" s="32"/>
      <c r="J15" s="80"/>
    </row>
    <row r="16" spans="2:10" ht="30" customHeight="1">
      <c r="B16" s="5" t="s">
        <v>1059</v>
      </c>
      <c r="C16" s="6" t="s">
        <v>1060</v>
      </c>
      <c r="D16" s="78">
        <v>10</v>
      </c>
      <c r="E16" s="6" t="s">
        <v>395</v>
      </c>
      <c r="F16" s="77">
        <f>10</f>
        <v>10</v>
      </c>
      <c r="I16" s="32"/>
      <c r="J16" s="80"/>
    </row>
    <row r="17" spans="2:10" ht="30" customHeight="1">
      <c r="B17" s="5" t="s">
        <v>1061</v>
      </c>
      <c r="C17" s="6" t="s">
        <v>1062</v>
      </c>
      <c r="D17" s="78">
        <v>10</v>
      </c>
      <c r="E17" s="6" t="s">
        <v>395</v>
      </c>
      <c r="F17" s="77">
        <f>10</f>
        <v>10</v>
      </c>
      <c r="I17" s="32"/>
      <c r="J17" s="80"/>
    </row>
    <row r="18" spans="2:10" ht="30" customHeight="1">
      <c r="B18" s="5">
        <v>0</v>
      </c>
      <c r="C18" s="6" t="s">
        <v>1063</v>
      </c>
      <c r="D18" s="78">
        <v>10</v>
      </c>
      <c r="E18" s="6" t="s">
        <v>395</v>
      </c>
      <c r="F18" s="77">
        <f>10</f>
        <v>10</v>
      </c>
      <c r="I18" s="32"/>
      <c r="J18" s="80"/>
    </row>
    <row r="19" spans="2:10" ht="30" customHeight="1">
      <c r="B19" s="5">
        <v>0</v>
      </c>
      <c r="C19" s="6" t="s">
        <v>1064</v>
      </c>
      <c r="D19" s="78">
        <v>10</v>
      </c>
      <c r="E19" s="6" t="s">
        <v>395</v>
      </c>
      <c r="F19" s="77">
        <f>10</f>
        <v>10</v>
      </c>
      <c r="I19" s="32"/>
      <c r="J19" s="80"/>
    </row>
    <row r="20" spans="2:10" ht="30" customHeight="1">
      <c r="B20" s="5">
        <v>0</v>
      </c>
      <c r="C20" s="6" t="s">
        <v>1065</v>
      </c>
      <c r="D20" s="78">
        <v>20</v>
      </c>
      <c r="E20" s="6" t="s">
        <v>395</v>
      </c>
      <c r="F20" s="77">
        <f>20</f>
        <v>20</v>
      </c>
      <c r="I20" s="32"/>
      <c r="J20" s="80"/>
    </row>
    <row r="21" spans="2:10" ht="30" customHeight="1">
      <c r="B21" s="5" t="s">
        <v>1066</v>
      </c>
      <c r="C21" s="88" t="s">
        <v>1067</v>
      </c>
      <c r="D21" s="78">
        <v>10</v>
      </c>
      <c r="E21" s="6" t="s">
        <v>395</v>
      </c>
      <c r="F21" s="77">
        <f>10</f>
        <v>10</v>
      </c>
      <c r="I21" s="32"/>
      <c r="J21" s="80"/>
    </row>
    <row r="22" spans="2:10" ht="30" customHeight="1">
      <c r="B22" s="5">
        <v>0</v>
      </c>
      <c r="C22" s="88" t="s">
        <v>1068</v>
      </c>
      <c r="D22" s="78">
        <v>10</v>
      </c>
      <c r="E22" s="6" t="s">
        <v>395</v>
      </c>
      <c r="F22" s="77">
        <f>10</f>
        <v>10</v>
      </c>
      <c r="I22" s="32"/>
      <c r="J22" s="80"/>
    </row>
    <row r="23" spans="2:10" ht="30" customHeight="1">
      <c r="B23" s="5">
        <v>0</v>
      </c>
      <c r="C23" s="6" t="s">
        <v>1069</v>
      </c>
      <c r="D23" s="78">
        <v>10</v>
      </c>
      <c r="E23" s="6" t="s">
        <v>395</v>
      </c>
      <c r="F23" s="77">
        <f>10</f>
        <v>10</v>
      </c>
      <c r="I23" s="32"/>
      <c r="J23" s="80"/>
    </row>
    <row r="24" spans="2:10" ht="30" customHeight="1">
      <c r="B24" s="5">
        <v>0</v>
      </c>
      <c r="C24" s="6" t="s">
        <v>1070</v>
      </c>
      <c r="D24" s="78">
        <v>10</v>
      </c>
      <c r="E24" s="6" t="s">
        <v>395</v>
      </c>
      <c r="F24" s="77">
        <f>10</f>
        <v>10</v>
      </c>
      <c r="I24" s="32"/>
      <c r="J24" s="80"/>
    </row>
    <row r="25" spans="2:10" ht="30" customHeight="1">
      <c r="B25" s="5" t="s">
        <v>1072</v>
      </c>
      <c r="C25" s="6">
        <v>0</v>
      </c>
      <c r="D25" s="78">
        <v>10</v>
      </c>
      <c r="E25" s="6" t="s">
        <v>395</v>
      </c>
      <c r="F25" s="77">
        <f>10</f>
        <v>10</v>
      </c>
      <c r="I25" s="32"/>
      <c r="J25" s="80"/>
    </row>
    <row r="26" spans="2:10" ht="30" customHeight="1">
      <c r="B26" s="5" t="s">
        <v>1073</v>
      </c>
      <c r="C26" s="6" t="s">
        <v>1074</v>
      </c>
      <c r="D26" s="78" t="s">
        <v>1085</v>
      </c>
      <c r="E26" s="6" t="s">
        <v>397</v>
      </c>
      <c r="F26" s="77">
        <f>5*10</f>
        <v>50</v>
      </c>
      <c r="I26" s="32"/>
      <c r="J26" s="80"/>
    </row>
    <row r="27" spans="2:10" ht="30" customHeight="1">
      <c r="B27" s="5" t="s">
        <v>1076</v>
      </c>
      <c r="C27" s="6" t="s">
        <v>1077</v>
      </c>
      <c r="D27" s="78">
        <v>10</v>
      </c>
      <c r="E27" s="6" t="s">
        <v>1078</v>
      </c>
      <c r="F27" s="77">
        <f>10</f>
        <v>10</v>
      </c>
      <c r="I27" s="32"/>
      <c r="J27" s="80"/>
    </row>
    <row r="28" spans="2:10" ht="30" customHeight="1">
      <c r="B28" s="5"/>
      <c r="C28" s="6"/>
      <c r="D28" s="78"/>
      <c r="E28" s="6"/>
      <c r="F28" s="77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1086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1087</v>
      </c>
      <c r="E7" s="6" t="s">
        <v>97</v>
      </c>
      <c r="F7" s="36">
        <f>0.6*0.6*3.14/4*1.7*10</f>
        <v>4.8042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1088</v>
      </c>
      <c r="E8" s="6" t="s">
        <v>97</v>
      </c>
      <c r="F8" s="34">
        <f>4.8-4.6</f>
        <v>0.20000000000000018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1089</v>
      </c>
      <c r="E9" s="6" t="s">
        <v>97</v>
      </c>
      <c r="F9" s="36">
        <f>(0.6*0.6*3.14/4*1.6+0.2*0.2*3.14/4*0.1)*10</f>
        <v>4.553000000000001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1090</v>
      </c>
      <c r="E10" s="6" t="s">
        <v>393</v>
      </c>
      <c r="F10" s="36">
        <f>0.6*0.6*3.14/4*10</f>
        <v>2.826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6</v>
      </c>
      <c r="E11" s="6" t="s">
        <v>393</v>
      </c>
      <c r="F11" s="62">
        <f>0.6*0.6*3.14/4*10</f>
        <v>2.826</v>
      </c>
      <c r="I11" s="32"/>
      <c r="J11" s="80"/>
    </row>
    <row r="12" spans="2:10" ht="30" customHeight="1">
      <c r="B12" s="5" t="s">
        <v>305</v>
      </c>
      <c r="C12" s="6" t="s">
        <v>1052</v>
      </c>
      <c r="D12" s="37" t="s">
        <v>1091</v>
      </c>
      <c r="E12" s="6" t="s">
        <v>397</v>
      </c>
      <c r="F12" s="62">
        <f>1.5*10</f>
        <v>15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1092</v>
      </c>
      <c r="E13" s="6" t="s">
        <v>97</v>
      </c>
      <c r="F13" s="77">
        <f>(0.6*0.6*3.14/4*1.5-0.186*0.186*3.14/4*0.9)*10</f>
        <v>3.994579260000001</v>
      </c>
      <c r="I13" s="32"/>
      <c r="J13" s="80"/>
    </row>
    <row r="14" spans="2:10" ht="30" customHeight="1">
      <c r="B14" s="5" t="s">
        <v>327</v>
      </c>
      <c r="C14" s="6" t="s">
        <v>297</v>
      </c>
      <c r="D14" s="4" t="s">
        <v>1093</v>
      </c>
      <c r="E14" s="6" t="s">
        <v>97</v>
      </c>
      <c r="F14" s="68">
        <f>(0.3*0.3-0.186*0.186)*3.14/4*0.1*10</f>
        <v>0.04349214</v>
      </c>
      <c r="I14" s="32"/>
      <c r="J14" s="80"/>
    </row>
    <row r="15" spans="2:10" ht="30" customHeight="1">
      <c r="B15" s="5" t="s">
        <v>1094</v>
      </c>
      <c r="C15" s="6" t="s">
        <v>1095</v>
      </c>
      <c r="D15" s="37">
        <v>10</v>
      </c>
      <c r="E15" s="6" t="s">
        <v>396</v>
      </c>
      <c r="F15" s="77">
        <f>10</f>
        <v>10</v>
      </c>
      <c r="I15" s="32"/>
      <c r="J15" s="80"/>
    </row>
    <row r="16" spans="2:10" ht="30" customHeight="1">
      <c r="B16" s="5" t="s">
        <v>1096</v>
      </c>
      <c r="C16" s="6" t="s">
        <v>1097</v>
      </c>
      <c r="D16" s="78">
        <v>10</v>
      </c>
      <c r="E16" s="6" t="s">
        <v>1098</v>
      </c>
      <c r="F16" s="77">
        <f>10</f>
        <v>10</v>
      </c>
      <c r="I16" s="32"/>
      <c r="J16" s="80"/>
    </row>
    <row r="17" spans="2:10" ht="30" customHeight="1">
      <c r="B17" s="5">
        <v>0</v>
      </c>
      <c r="C17" s="6" t="s">
        <v>1099</v>
      </c>
      <c r="D17" s="78">
        <v>10</v>
      </c>
      <c r="E17" s="6" t="s">
        <v>1098</v>
      </c>
      <c r="F17" s="77">
        <f>10</f>
        <v>10</v>
      </c>
      <c r="I17" s="32"/>
      <c r="J17" s="80"/>
    </row>
    <row r="18" spans="2:10" ht="30" customHeight="1">
      <c r="B18" s="5">
        <v>0</v>
      </c>
      <c r="C18" s="6" t="s">
        <v>1100</v>
      </c>
      <c r="D18" s="78">
        <v>10</v>
      </c>
      <c r="E18" s="6" t="s">
        <v>1098</v>
      </c>
      <c r="F18" s="77">
        <f>10</f>
        <v>10</v>
      </c>
      <c r="I18" s="32"/>
      <c r="J18" s="80"/>
    </row>
    <row r="19" spans="2:10" ht="30" customHeight="1">
      <c r="B19" s="5">
        <v>0</v>
      </c>
      <c r="C19" s="6" t="s">
        <v>1101</v>
      </c>
      <c r="D19" s="78">
        <v>10</v>
      </c>
      <c r="E19" s="6" t="s">
        <v>1098</v>
      </c>
      <c r="F19" s="77">
        <f>10</f>
        <v>10</v>
      </c>
      <c r="I19" s="32"/>
      <c r="J19" s="80"/>
    </row>
    <row r="20" spans="2:10" ht="30" customHeight="1">
      <c r="B20" s="5"/>
      <c r="C20" s="6"/>
      <c r="D20" s="78"/>
      <c r="E20" s="6"/>
      <c r="F20" s="77"/>
      <c r="I20" s="32"/>
      <c r="J20" s="80"/>
    </row>
    <row r="21" spans="2:10" ht="30" customHeight="1">
      <c r="B21" s="5"/>
      <c r="C21" s="6"/>
      <c r="D21" s="78"/>
      <c r="E21" s="6"/>
      <c r="F21" s="77"/>
      <c r="I21" s="32"/>
      <c r="J21" s="80"/>
    </row>
    <row r="22" spans="2:10" ht="30" customHeight="1">
      <c r="B22" s="5"/>
      <c r="C22" s="6"/>
      <c r="D22" s="78"/>
      <c r="E22" s="6"/>
      <c r="F22" s="77"/>
      <c r="I22" s="32"/>
      <c r="J22" s="80"/>
    </row>
    <row r="23" spans="2:10" ht="30" customHeight="1">
      <c r="B23" s="5"/>
      <c r="C23" s="6"/>
      <c r="D23" s="78"/>
      <c r="E23" s="6"/>
      <c r="F23" s="77"/>
      <c r="I23" s="32"/>
      <c r="J23" s="80"/>
    </row>
    <row r="24" spans="2:10" ht="30" customHeight="1">
      <c r="B24" s="5"/>
      <c r="C24" s="6"/>
      <c r="D24" s="78"/>
      <c r="E24" s="6"/>
      <c r="F24" s="77"/>
      <c r="I24" s="32"/>
      <c r="J24" s="80"/>
    </row>
    <row r="25" spans="2:10" ht="30" customHeight="1">
      <c r="B25" s="5"/>
      <c r="C25" s="6"/>
      <c r="D25" s="78"/>
      <c r="E25" s="6"/>
      <c r="F25" s="77"/>
      <c r="I25" s="32"/>
      <c r="J25" s="80"/>
    </row>
    <row r="26" spans="2:10" ht="30" customHeight="1">
      <c r="B26" s="5"/>
      <c r="C26" s="6"/>
      <c r="D26" s="78"/>
      <c r="E26" s="6"/>
      <c r="F26" s="77"/>
      <c r="I26" s="32"/>
      <c r="J26" s="80"/>
    </row>
    <row r="27" spans="2:10" ht="30" customHeight="1">
      <c r="B27" s="5"/>
      <c r="C27" s="6"/>
      <c r="D27" s="78"/>
      <c r="E27" s="6"/>
      <c r="F27" s="77"/>
      <c r="I27" s="32"/>
      <c r="J27" s="80"/>
    </row>
    <row r="28" spans="2:10" ht="30" customHeight="1">
      <c r="B28" s="5"/>
      <c r="C28" s="6"/>
      <c r="D28" s="78"/>
      <c r="E28" s="6"/>
      <c r="F28" s="77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J43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1102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1103</v>
      </c>
      <c r="E7" s="6" t="s">
        <v>97</v>
      </c>
      <c r="F7" s="36">
        <f>(0.72+1)*(0.72+1)*1*10</f>
        <v>29.583999999999996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1104</v>
      </c>
      <c r="E8" s="6" t="s">
        <v>97</v>
      </c>
      <c r="F8" s="34">
        <f>29.6-5.8</f>
        <v>23.8</v>
      </c>
      <c r="I8" s="32"/>
      <c r="J8" s="75"/>
    </row>
    <row r="9" spans="2:10" ht="60" customHeight="1">
      <c r="B9" s="5" t="s">
        <v>289</v>
      </c>
      <c r="C9" s="6">
        <v>0</v>
      </c>
      <c r="D9" s="3" t="s">
        <v>1105</v>
      </c>
      <c r="E9" s="6" t="s">
        <v>97</v>
      </c>
      <c r="F9" s="36">
        <f>(0.82*0.82*0.1+0.72*0.72*0.57+(0.72*0.72+0.87*0.87)/2*0.15+0.87*0.87*0.08+0.87*0.87/4*3.14*0.1)*10</f>
        <v>5.7834414999999995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1106</v>
      </c>
      <c r="E10" s="6" t="s">
        <v>393</v>
      </c>
      <c r="F10" s="36">
        <f>0.82*0.82*10</f>
        <v>6.723999999999998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1107</v>
      </c>
      <c r="E11" s="6" t="s">
        <v>393</v>
      </c>
      <c r="F11" s="9">
        <f>0.82*0.82*10</f>
        <v>6.723999999999998</v>
      </c>
      <c r="I11" s="32"/>
      <c r="J11" s="75"/>
    </row>
    <row r="12" spans="2:10" ht="30" customHeight="1">
      <c r="B12" s="5" t="s">
        <v>301</v>
      </c>
      <c r="C12" s="6" t="s">
        <v>302</v>
      </c>
      <c r="D12" s="37" t="s">
        <v>1108</v>
      </c>
      <c r="E12" s="6" t="s">
        <v>97</v>
      </c>
      <c r="F12" s="38">
        <f>0.72*0.72*0.03*10</f>
        <v>0.15552</v>
      </c>
      <c r="I12" s="32"/>
      <c r="J12" s="75"/>
    </row>
    <row r="13" spans="2:10" ht="36" customHeight="1">
      <c r="B13" s="5" t="s">
        <v>1109</v>
      </c>
      <c r="C13" s="6" t="s">
        <v>1110</v>
      </c>
      <c r="D13" s="37"/>
      <c r="E13" s="6" t="s">
        <v>394</v>
      </c>
      <c r="F13" s="40">
        <v>10</v>
      </c>
      <c r="I13" s="32"/>
      <c r="J13" s="75"/>
    </row>
    <row r="14" spans="2:10" ht="30" customHeight="1">
      <c r="B14" s="5"/>
      <c r="C14" s="6"/>
      <c r="D14" s="76"/>
      <c r="E14" s="6"/>
      <c r="F14" s="77"/>
      <c r="I14" s="32"/>
      <c r="J14" s="75"/>
    </row>
    <row r="15" spans="2:10" ht="30" customHeight="1">
      <c r="B15" s="5"/>
      <c r="C15" s="6"/>
      <c r="D15" s="78"/>
      <c r="E15" s="6"/>
      <c r="F15" s="79"/>
      <c r="I15" s="32"/>
      <c r="J15" s="75"/>
    </row>
    <row r="16" spans="2:10" ht="30" customHeight="1">
      <c r="B16" s="5"/>
      <c r="C16" s="6"/>
      <c r="D16" s="10"/>
      <c r="E16" s="6"/>
      <c r="F16" s="77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54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11"/>
      <c r="I20" s="32"/>
      <c r="J20" s="75"/>
    </row>
    <row r="21" spans="2:10" ht="39" customHeight="1">
      <c r="B21" s="5"/>
      <c r="C21" s="6"/>
      <c r="D21" s="37"/>
      <c r="E21" s="13"/>
      <c r="F21" s="38"/>
      <c r="I21" s="32"/>
      <c r="J21" s="75"/>
    </row>
    <row r="22" spans="2:10" ht="30" customHeight="1">
      <c r="B22" s="5"/>
      <c r="C22" s="6"/>
      <c r="D22" s="12"/>
      <c r="E22" s="13"/>
      <c r="F22" s="9"/>
      <c r="I22" s="32"/>
      <c r="J22" s="75"/>
    </row>
    <row r="23" spans="2:10" ht="30" customHeight="1">
      <c r="B23" s="5"/>
      <c r="C23" s="6"/>
      <c r="D23" s="10"/>
      <c r="E23" s="13"/>
      <c r="F23" s="55"/>
      <c r="I23" s="32"/>
      <c r="J23" s="75"/>
    </row>
    <row r="24" spans="2:10" ht="30" customHeight="1">
      <c r="B24" s="5"/>
      <c r="C24" s="6"/>
      <c r="D24" s="10"/>
      <c r="E24" s="13"/>
      <c r="F24" s="11"/>
      <c r="I24" s="32"/>
      <c r="J24" s="75"/>
    </row>
    <row r="25" spans="2:10" ht="30" customHeight="1">
      <c r="B25" s="5"/>
      <c r="C25" s="6"/>
      <c r="D25" s="37"/>
      <c r="E25" s="13"/>
      <c r="F25" s="36"/>
      <c r="I25" s="32"/>
      <c r="J25" s="75"/>
    </row>
    <row r="26" spans="2:10" ht="30" customHeight="1">
      <c r="B26" s="5"/>
      <c r="C26" s="6"/>
      <c r="D26" s="37"/>
      <c r="E26" s="6"/>
      <c r="F26" s="41"/>
      <c r="I26" s="32"/>
      <c r="J26" s="75"/>
    </row>
    <row r="27" spans="2:10" ht="30" customHeight="1">
      <c r="B27" s="5"/>
      <c r="C27" s="6"/>
      <c r="D27" s="12"/>
      <c r="E27" s="13"/>
      <c r="F27" s="9"/>
      <c r="I27" s="32"/>
      <c r="J27" s="75"/>
    </row>
    <row r="28" spans="2:10" ht="30" customHeight="1" thickBot="1">
      <c r="B28" s="43"/>
      <c r="C28" s="44"/>
      <c r="D28" s="45"/>
      <c r="E28" s="44"/>
      <c r="F28" s="46"/>
      <c r="I28" s="32"/>
      <c r="J28" s="75"/>
    </row>
    <row r="30" spans="9:10" ht="13.5">
      <c r="I30" s="2"/>
      <c r="J30" s="47"/>
    </row>
    <row r="31" spans="1:4" ht="13.5">
      <c r="A31" s="22"/>
      <c r="B31" s="22"/>
      <c r="C31" s="22"/>
      <c r="D31" s="22"/>
    </row>
    <row r="32" spans="1:4" ht="13.5">
      <c r="A32" s="22"/>
      <c r="B32" s="48"/>
      <c r="C32" s="48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9"/>
      <c r="D40" s="22"/>
    </row>
    <row r="41" spans="1:4" ht="13.5">
      <c r="A41" s="22"/>
      <c r="B41" s="50"/>
      <c r="C41" s="48"/>
      <c r="D41" s="22"/>
    </row>
    <row r="42" spans="1:4" ht="13.5">
      <c r="A42" s="22"/>
      <c r="B42" s="48"/>
      <c r="C42" s="49"/>
      <c r="D42" s="22"/>
    </row>
    <row r="43" spans="1:4" ht="13.5">
      <c r="A43" s="22"/>
      <c r="B43" s="22"/>
      <c r="C43" s="22"/>
      <c r="D43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1302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1111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/>
      <c r="C7" s="6"/>
      <c r="D7" s="89" t="s">
        <v>1112</v>
      </c>
      <c r="E7" s="6"/>
      <c r="F7" s="79"/>
      <c r="I7" s="32"/>
      <c r="J7" s="80"/>
    </row>
    <row r="8" spans="2:10" ht="30" customHeight="1">
      <c r="B8" s="5" t="s">
        <v>286</v>
      </c>
      <c r="C8" s="6">
        <v>0</v>
      </c>
      <c r="D8" s="3" t="s">
        <v>1113</v>
      </c>
      <c r="E8" s="6" t="s">
        <v>97</v>
      </c>
      <c r="F8" s="36">
        <f>0.3*0.64*10</f>
        <v>1.92</v>
      </c>
      <c r="I8" s="32"/>
      <c r="J8" s="80"/>
    </row>
    <row r="9" spans="2:10" ht="30" customHeight="1">
      <c r="B9" s="5" t="s">
        <v>287</v>
      </c>
      <c r="C9" s="6" t="s">
        <v>288</v>
      </c>
      <c r="D9" s="3" t="s">
        <v>1114</v>
      </c>
      <c r="E9" s="6" t="s">
        <v>97</v>
      </c>
      <c r="F9" s="34">
        <f>0.3*0.64*10</f>
        <v>1.92</v>
      </c>
      <c r="I9" s="32"/>
      <c r="J9" s="80"/>
    </row>
    <row r="10" spans="2:10" ht="30" customHeight="1">
      <c r="B10" s="5" t="s">
        <v>1115</v>
      </c>
      <c r="C10" s="6" t="s">
        <v>1116</v>
      </c>
      <c r="D10" s="3" t="s">
        <v>1117</v>
      </c>
      <c r="E10" s="6" t="s">
        <v>397</v>
      </c>
      <c r="F10" s="9">
        <f>10*1.05</f>
        <v>10.5</v>
      </c>
      <c r="I10" s="32"/>
      <c r="J10" s="80"/>
    </row>
    <row r="11" spans="2:10" ht="30" customHeight="1">
      <c r="B11" s="5" t="s">
        <v>1118</v>
      </c>
      <c r="C11" s="6">
        <v>0</v>
      </c>
      <c r="D11" s="76">
        <v>1</v>
      </c>
      <c r="E11" s="6" t="s">
        <v>400</v>
      </c>
      <c r="F11" s="9">
        <f>1</f>
        <v>1</v>
      </c>
      <c r="I11" s="32"/>
      <c r="J11" s="80"/>
    </row>
    <row r="12" spans="2:10" ht="30" customHeight="1">
      <c r="B12" s="5" t="s">
        <v>319</v>
      </c>
      <c r="C12" s="6">
        <v>0</v>
      </c>
      <c r="D12" s="37">
        <v>1</v>
      </c>
      <c r="E12" s="6" t="s">
        <v>400</v>
      </c>
      <c r="F12" s="9">
        <f>1</f>
        <v>1</v>
      </c>
      <c r="I12" s="32"/>
      <c r="J12" s="80"/>
    </row>
    <row r="13" spans="2:10" ht="30" customHeight="1">
      <c r="B13" s="5" t="s">
        <v>1119</v>
      </c>
      <c r="C13" s="6" t="s">
        <v>1120</v>
      </c>
      <c r="D13" s="3">
        <v>10</v>
      </c>
      <c r="E13" s="6" t="s">
        <v>397</v>
      </c>
      <c r="F13" s="9">
        <f>10</f>
        <v>10</v>
      </c>
      <c r="I13" s="32"/>
      <c r="J13" s="80"/>
    </row>
    <row r="14" spans="2:10" ht="36" customHeight="1">
      <c r="B14" s="5"/>
      <c r="C14" s="6"/>
      <c r="D14" s="37"/>
      <c r="E14" s="6"/>
      <c r="F14" s="40"/>
      <c r="I14" s="32"/>
      <c r="J14" s="80"/>
    </row>
    <row r="15" spans="2:10" ht="30" customHeight="1">
      <c r="B15" s="5"/>
      <c r="C15" s="6"/>
      <c r="D15" s="76"/>
      <c r="E15" s="6"/>
      <c r="F15" s="77"/>
      <c r="I15" s="32"/>
      <c r="J15" s="80"/>
    </row>
    <row r="16" spans="2:10" ht="30" customHeight="1">
      <c r="B16" s="5"/>
      <c r="C16" s="6"/>
      <c r="D16" s="78"/>
      <c r="E16" s="6"/>
      <c r="F16" s="79"/>
      <c r="I16" s="32"/>
      <c r="J16" s="80"/>
    </row>
    <row r="17" spans="2:10" ht="30" customHeight="1">
      <c r="B17" s="5"/>
      <c r="C17" s="6"/>
      <c r="D17" s="10"/>
      <c r="E17" s="6"/>
      <c r="F17" s="77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D20" sqref="D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1301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1122</v>
      </c>
      <c r="E7" s="6" t="s">
        <v>97</v>
      </c>
      <c r="F7" s="36">
        <f>1.4*0.9*0.6*10</f>
        <v>7.5600000000000005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1123</v>
      </c>
      <c r="E8" s="6" t="s">
        <v>97</v>
      </c>
      <c r="F8" s="34">
        <f>7.6-2.7</f>
        <v>4.8999999999999995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1124</v>
      </c>
      <c r="E9" s="6" t="s">
        <v>97</v>
      </c>
      <c r="F9" s="36">
        <f>(1.1*0.6*0.1+1*0.5*0.4+0.0605*0.0605*3.14*0.25*0.1*2)*10</f>
        <v>2.6657465925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1125</v>
      </c>
      <c r="E10" s="6" t="s">
        <v>393</v>
      </c>
      <c r="F10" s="36">
        <f>1.1*0.6*10</f>
        <v>6.6000000000000005</v>
      </c>
      <c r="I10" s="32"/>
      <c r="J10" s="75"/>
    </row>
    <row r="11" spans="2:10" ht="30" customHeight="1">
      <c r="B11" s="5" t="s">
        <v>291</v>
      </c>
      <c r="C11" s="6" t="s">
        <v>292</v>
      </c>
      <c r="D11" s="3" t="s">
        <v>1125</v>
      </c>
      <c r="E11" s="6" t="s">
        <v>393</v>
      </c>
      <c r="F11" s="9">
        <f>1.1*0.6*10</f>
        <v>6.6000000000000005</v>
      </c>
      <c r="I11" s="32"/>
      <c r="J11" s="75"/>
    </row>
    <row r="12" spans="2:10" ht="30" customHeight="1">
      <c r="B12" s="5" t="s">
        <v>320</v>
      </c>
      <c r="C12" s="6">
        <v>0</v>
      </c>
      <c r="D12" s="37" t="s">
        <v>1126</v>
      </c>
      <c r="E12" s="6" t="s">
        <v>393</v>
      </c>
      <c r="F12" s="9">
        <f>(1*0.4*2+0.5*0.4*2)*10</f>
        <v>12.000000000000002</v>
      </c>
      <c r="I12" s="32"/>
      <c r="J12" s="75"/>
    </row>
    <row r="13" spans="2:10" ht="36" customHeight="1">
      <c r="B13" s="5" t="s">
        <v>294</v>
      </c>
      <c r="C13" s="6" t="s">
        <v>295</v>
      </c>
      <c r="D13" s="37" t="s">
        <v>1127</v>
      </c>
      <c r="E13" s="6" t="s">
        <v>97</v>
      </c>
      <c r="F13" s="9">
        <f>(1*0.5-0.0605*0.0605*3.14*0.25*2)*0.4*10</f>
        <v>1.97701363</v>
      </c>
      <c r="I13" s="32"/>
      <c r="J13" s="75"/>
    </row>
    <row r="14" spans="2:10" ht="30" customHeight="1">
      <c r="B14" s="5" t="s">
        <v>1121</v>
      </c>
      <c r="C14" s="6" t="s">
        <v>298</v>
      </c>
      <c r="D14" s="37">
        <v>10</v>
      </c>
      <c r="E14" s="6" t="s">
        <v>396</v>
      </c>
      <c r="F14" s="40">
        <f>10</f>
        <v>10</v>
      </c>
      <c r="I14" s="32"/>
      <c r="J14" s="75"/>
    </row>
    <row r="15" spans="2:10" ht="30" customHeight="1">
      <c r="B15" s="5"/>
      <c r="C15" s="6"/>
      <c r="D15" s="37"/>
      <c r="E15" s="6"/>
      <c r="F15" s="40"/>
      <c r="I15" s="32"/>
      <c r="J15" s="75"/>
    </row>
    <row r="16" spans="2:10" ht="30" customHeight="1">
      <c r="B16" s="5"/>
      <c r="C16" s="6"/>
      <c r="D16" s="37"/>
      <c r="E16" s="6"/>
      <c r="F16" s="72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7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73</v>
      </c>
      <c r="C3" s="20"/>
      <c r="D3" s="21"/>
      <c r="E3" s="22"/>
      <c r="F3" s="23"/>
    </row>
    <row r="4" spans="2:6" ht="30" customHeight="1">
      <c r="B4" s="61" t="s">
        <v>226</v>
      </c>
      <c r="C4" s="25"/>
      <c r="D4" s="25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7" t="s">
        <v>117</v>
      </c>
      <c r="E7" s="6" t="s">
        <v>97</v>
      </c>
      <c r="F7" s="36">
        <f>(0.25+0.4)*(0.25+0.4)*0.63*10</f>
        <v>2.6617500000000005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118</v>
      </c>
      <c r="E8" s="6" t="s">
        <v>97</v>
      </c>
      <c r="F8" s="36">
        <f>2.7-0.5</f>
        <v>2.2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173</v>
      </c>
      <c r="E9" s="6" t="s">
        <v>97</v>
      </c>
      <c r="F9" s="36">
        <f>(0.35*0.35*0.1+0.25*0.25*0.53)*10</f>
        <v>0.45375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1</v>
      </c>
      <c r="E10" s="6" t="s">
        <v>393</v>
      </c>
      <c r="F10" s="36">
        <f>0.35*0.35*10</f>
        <v>1.2249999999999999</v>
      </c>
      <c r="I10" s="32"/>
      <c r="J10" s="33"/>
    </row>
    <row r="11" spans="2:10" ht="30" customHeight="1">
      <c r="B11" s="5" t="s">
        <v>291</v>
      </c>
      <c r="C11" s="6" t="s">
        <v>292</v>
      </c>
      <c r="D11" s="3" t="s">
        <v>1</v>
      </c>
      <c r="E11" s="6" t="s">
        <v>393</v>
      </c>
      <c r="F11" s="9">
        <f>0.35*0.35*10</f>
        <v>1.2249999999999999</v>
      </c>
      <c r="I11" s="32"/>
      <c r="J11" s="33"/>
    </row>
    <row r="12" spans="2:10" ht="30" customHeight="1">
      <c r="B12" s="5" t="s">
        <v>301</v>
      </c>
      <c r="C12" s="6" t="s">
        <v>302</v>
      </c>
      <c r="D12" s="37" t="s">
        <v>161</v>
      </c>
      <c r="E12" s="6" t="s">
        <v>97</v>
      </c>
      <c r="F12" s="38">
        <f>0.25*0.25*0.03*10</f>
        <v>0.01875</v>
      </c>
      <c r="I12" s="32"/>
      <c r="J12" s="33"/>
    </row>
    <row r="13" spans="2:10" ht="30" customHeight="1">
      <c r="B13" s="42" t="s">
        <v>330</v>
      </c>
      <c r="C13" s="13" t="s">
        <v>351</v>
      </c>
      <c r="D13" s="37">
        <v>10</v>
      </c>
      <c r="E13" s="13" t="s">
        <v>395</v>
      </c>
      <c r="F13" s="72">
        <f>10</f>
        <v>10</v>
      </c>
      <c r="I13" s="32"/>
      <c r="J13" s="33"/>
    </row>
    <row r="14" spans="1:6" ht="39.75" customHeight="1">
      <c r="A14" s="18"/>
      <c r="B14" s="63" t="s">
        <v>88</v>
      </c>
      <c r="C14" s="64"/>
      <c r="D14" s="65"/>
      <c r="E14" s="66"/>
      <c r="F14" s="67"/>
    </row>
    <row r="15" spans="2:6" ht="30" customHeight="1">
      <c r="B15" s="61" t="s">
        <v>226</v>
      </c>
      <c r="C15" s="25"/>
      <c r="D15" s="25"/>
      <c r="E15" s="7">
        <v>10</v>
      </c>
      <c r="F15" s="8" t="s">
        <v>162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10" t="s">
        <v>89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321</v>
      </c>
      <c r="C20" s="6" t="s">
        <v>297</v>
      </c>
      <c r="D20" s="12"/>
      <c r="E20" s="13"/>
      <c r="F20" s="9"/>
      <c r="I20" s="32"/>
      <c r="J20" s="33"/>
    </row>
    <row r="21" spans="2:10" ht="30" customHeight="1">
      <c r="B21" s="5" t="s">
        <v>352</v>
      </c>
      <c r="C21" s="6" t="s">
        <v>339</v>
      </c>
      <c r="D21" s="3" t="s">
        <v>74</v>
      </c>
      <c r="E21" s="6" t="s">
        <v>97</v>
      </c>
      <c r="F21" s="38">
        <f>(0.165*0.165*3.14/4*0.5-0.0508*0.0508*3.14/4*0.3)*5</f>
        <v>0.05039035890000001</v>
      </c>
      <c r="I21" s="32"/>
      <c r="J21" s="33"/>
    </row>
    <row r="22" spans="2:10" ht="30" customHeight="1">
      <c r="B22" s="5" t="s">
        <v>353</v>
      </c>
      <c r="C22" s="6" t="s">
        <v>339</v>
      </c>
      <c r="D22" s="3" t="s">
        <v>74</v>
      </c>
      <c r="E22" s="6" t="s">
        <v>97</v>
      </c>
      <c r="F22" s="38">
        <f>(0.165*0.165*3.14/4*0.5-0.0508*0.0508*3.14/4*0.3)*5</f>
        <v>0.05039035890000001</v>
      </c>
      <c r="I22" s="32"/>
      <c r="J22" s="33"/>
    </row>
    <row r="23" spans="2:10" ht="30" customHeight="1">
      <c r="B23" s="5"/>
      <c r="C23" s="6"/>
      <c r="D23" s="3"/>
      <c r="E23" s="6"/>
      <c r="F23" s="38"/>
      <c r="I23" s="32"/>
      <c r="J23" s="33"/>
    </row>
    <row r="24" spans="2:10" ht="30" customHeight="1">
      <c r="B24" s="5"/>
      <c r="C24" s="6"/>
      <c r="D24" s="3"/>
      <c r="E24" s="6"/>
      <c r="F24" s="38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SUM(J9:J32)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7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207</v>
      </c>
      <c r="C3" s="20"/>
      <c r="D3" s="21"/>
      <c r="E3" s="22"/>
      <c r="F3" s="23"/>
    </row>
    <row r="4" spans="2:6" ht="30" customHeight="1">
      <c r="B4" s="93" t="s">
        <v>227</v>
      </c>
      <c r="C4" s="94"/>
      <c r="D4" s="94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7" t="s">
        <v>119</v>
      </c>
      <c r="E7" s="6" t="s">
        <v>97</v>
      </c>
      <c r="F7" s="36">
        <f>(0.3+0.4)*(0.3+0.4)*0.63*10</f>
        <v>3.0869999999999997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175</v>
      </c>
      <c r="E8" s="6" t="s">
        <v>97</v>
      </c>
      <c r="F8" s="36">
        <f>3.1-0.6</f>
        <v>2.5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174</v>
      </c>
      <c r="E9" s="6" t="s">
        <v>97</v>
      </c>
      <c r="F9" s="36">
        <f>(0.4*0.4*0.1+0.3*0.3*0.53)*10</f>
        <v>0.637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2</v>
      </c>
      <c r="E10" s="6" t="s">
        <v>393</v>
      </c>
      <c r="F10" s="36">
        <f>0.4*0.4*10</f>
        <v>1.6000000000000003</v>
      </c>
      <c r="I10" s="32"/>
      <c r="J10" s="33"/>
    </row>
    <row r="11" spans="2:10" ht="30" customHeight="1">
      <c r="B11" s="5" t="s">
        <v>291</v>
      </c>
      <c r="C11" s="6" t="s">
        <v>292</v>
      </c>
      <c r="D11" s="3" t="s">
        <v>2</v>
      </c>
      <c r="E11" s="6" t="s">
        <v>393</v>
      </c>
      <c r="F11" s="9">
        <f>0.4*0.4*10</f>
        <v>1.6000000000000003</v>
      </c>
      <c r="I11" s="32"/>
      <c r="J11" s="33"/>
    </row>
    <row r="12" spans="2:10" ht="30" customHeight="1">
      <c r="B12" s="5" t="s">
        <v>301</v>
      </c>
      <c r="C12" s="6" t="s">
        <v>302</v>
      </c>
      <c r="D12" s="37" t="s">
        <v>93</v>
      </c>
      <c r="E12" s="6" t="s">
        <v>97</v>
      </c>
      <c r="F12" s="38">
        <f>0.3*0.3*0.03*10</f>
        <v>0.026999999999999996</v>
      </c>
      <c r="I12" s="32"/>
      <c r="J12" s="33"/>
    </row>
    <row r="13" spans="2:10" ht="30" customHeight="1">
      <c r="B13" s="42" t="s">
        <v>330</v>
      </c>
      <c r="C13" s="13" t="s">
        <v>345</v>
      </c>
      <c r="D13" s="37">
        <v>10</v>
      </c>
      <c r="E13" s="13" t="s">
        <v>395</v>
      </c>
      <c r="F13" s="72">
        <f>10</f>
        <v>10</v>
      </c>
      <c r="I13" s="32"/>
      <c r="J13" s="33"/>
    </row>
    <row r="14" spans="1:6" ht="39.75" customHeight="1">
      <c r="A14" s="18"/>
      <c r="B14" s="63" t="s">
        <v>88</v>
      </c>
      <c r="C14" s="64"/>
      <c r="D14" s="65"/>
      <c r="E14" s="66"/>
      <c r="F14" s="67"/>
    </row>
    <row r="15" spans="2:6" ht="30" customHeight="1">
      <c r="B15" s="93" t="s">
        <v>227</v>
      </c>
      <c r="C15" s="94"/>
      <c r="D15" s="94"/>
      <c r="E15" s="7">
        <v>10</v>
      </c>
      <c r="F15" s="8" t="s">
        <v>162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10" t="s">
        <v>89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321</v>
      </c>
      <c r="C20" s="6" t="s">
        <v>297</v>
      </c>
      <c r="D20" s="12"/>
      <c r="E20" s="13"/>
      <c r="F20" s="9"/>
      <c r="I20" s="32"/>
      <c r="J20" s="33"/>
    </row>
    <row r="21" spans="2:10" ht="30" customHeight="1">
      <c r="B21" s="5" t="s">
        <v>346</v>
      </c>
      <c r="C21" s="6" t="s">
        <v>333</v>
      </c>
      <c r="D21" s="3" t="s">
        <v>4</v>
      </c>
      <c r="E21" s="6" t="s">
        <v>97</v>
      </c>
      <c r="F21" s="38">
        <f>(0.165*0.165*3.14/4*0.5-0.0605*0.0605*3.14/4*0.35)*5</f>
        <v>0.0484007940625</v>
      </c>
      <c r="I21" s="32"/>
      <c r="J21" s="33"/>
    </row>
    <row r="22" spans="2:10" ht="30" customHeight="1">
      <c r="B22" s="5" t="s">
        <v>347</v>
      </c>
      <c r="C22" s="6" t="s">
        <v>339</v>
      </c>
      <c r="D22" s="3" t="s">
        <v>102</v>
      </c>
      <c r="E22" s="6" t="s">
        <v>97</v>
      </c>
      <c r="F22" s="38">
        <f>(0.165*0.165*3.14/4*0.5-0.0605*0.0605*3.14/4*0.3)*5</f>
        <v>0.049119118125</v>
      </c>
      <c r="I22" s="32"/>
      <c r="J22" s="33"/>
    </row>
    <row r="23" spans="2:10" ht="30" customHeight="1">
      <c r="B23" s="5" t="s">
        <v>348</v>
      </c>
      <c r="C23" s="6" t="s">
        <v>339</v>
      </c>
      <c r="D23" s="3" t="s">
        <v>102</v>
      </c>
      <c r="E23" s="6" t="s">
        <v>97</v>
      </c>
      <c r="F23" s="38">
        <f>(0.165*0.165*3.14/4*0.5-0.0605*0.0605*3.14/4*0.3)*5</f>
        <v>0.049119118125</v>
      </c>
      <c r="I23" s="32"/>
      <c r="J23" s="33"/>
    </row>
    <row r="24" spans="2:10" ht="30" customHeight="1">
      <c r="B24" s="5" t="s">
        <v>349</v>
      </c>
      <c r="C24" s="6" t="s">
        <v>339</v>
      </c>
      <c r="D24" s="3" t="s">
        <v>102</v>
      </c>
      <c r="E24" s="6" t="s">
        <v>97</v>
      </c>
      <c r="F24" s="38">
        <f>(0.165*0.165*3.14/4*0.5-0.0605*0.0605*3.14/4*0.3)*5</f>
        <v>0.049119118125</v>
      </c>
      <c r="I24" s="32"/>
      <c r="J24" s="33"/>
    </row>
    <row r="25" spans="2:10" ht="30" customHeight="1">
      <c r="B25" s="5" t="s">
        <v>350</v>
      </c>
      <c r="C25" s="6" t="s">
        <v>339</v>
      </c>
      <c r="D25" s="3" t="s">
        <v>228</v>
      </c>
      <c r="E25" s="6" t="s">
        <v>97</v>
      </c>
      <c r="F25" s="38">
        <f>(0.165*0.165*3.14/4*0.5-0.0605*0.0605*3.14/4*0.3)*5</f>
        <v>0.049119118125</v>
      </c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SUM(J9:J32)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mergeCells count="2">
    <mergeCell ref="B4:D4"/>
    <mergeCell ref="B15:D15"/>
  </mergeCells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10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229</v>
      </c>
      <c r="C3" s="20"/>
      <c r="D3" s="21"/>
      <c r="E3" s="22"/>
      <c r="F3" s="23"/>
    </row>
    <row r="4" spans="2:6" ht="30" customHeight="1">
      <c r="B4" s="90" t="s">
        <v>230</v>
      </c>
      <c r="C4" s="92"/>
      <c r="D4" s="92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7" t="s">
        <v>120</v>
      </c>
      <c r="E7" s="6" t="s">
        <v>97</v>
      </c>
      <c r="F7" s="36">
        <f>(0.3+0.4)*(0.3+0.4)*0.73*10</f>
        <v>3.5769999999999995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130</v>
      </c>
      <c r="E8" s="6" t="s">
        <v>97</v>
      </c>
      <c r="F8" s="36">
        <f>3.6-0.7</f>
        <v>2.9000000000000004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176</v>
      </c>
      <c r="E9" s="6" t="s">
        <v>97</v>
      </c>
      <c r="F9" s="36">
        <f>(0.4*0.4*0.1+0.3*0.3*0.63)*10</f>
        <v>0.727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104</v>
      </c>
      <c r="E10" s="6" t="s">
        <v>393</v>
      </c>
      <c r="F10" s="36">
        <f>0.4*0.4*10</f>
        <v>1.6000000000000003</v>
      </c>
      <c r="I10" s="32"/>
      <c r="J10" s="33"/>
    </row>
    <row r="11" spans="2:10" ht="30" customHeight="1">
      <c r="B11" s="5" t="s">
        <v>291</v>
      </c>
      <c r="C11" s="6" t="s">
        <v>292</v>
      </c>
      <c r="D11" s="3" t="s">
        <v>104</v>
      </c>
      <c r="E11" s="6" t="s">
        <v>393</v>
      </c>
      <c r="F11" s="9">
        <f>0.4*0.4*10</f>
        <v>1.6000000000000003</v>
      </c>
      <c r="I11" s="32"/>
      <c r="J11" s="33"/>
    </row>
    <row r="12" spans="2:10" ht="30" customHeight="1">
      <c r="B12" s="5" t="s">
        <v>301</v>
      </c>
      <c r="C12" s="6" t="s">
        <v>302</v>
      </c>
      <c r="D12" s="37" t="s">
        <v>93</v>
      </c>
      <c r="E12" s="6" t="s">
        <v>97</v>
      </c>
      <c r="F12" s="38">
        <f>0.3*0.3*0.03*10</f>
        <v>0.026999999999999996</v>
      </c>
      <c r="I12" s="32"/>
      <c r="J12" s="33"/>
    </row>
    <row r="13" spans="2:10" ht="30" customHeight="1">
      <c r="B13" s="42" t="s">
        <v>330</v>
      </c>
      <c r="C13" s="13" t="s">
        <v>342</v>
      </c>
      <c r="D13" s="37">
        <v>10</v>
      </c>
      <c r="E13" s="13" t="s">
        <v>395</v>
      </c>
      <c r="F13" s="72">
        <f>10</f>
        <v>10</v>
      </c>
      <c r="I13" s="32"/>
      <c r="J13" s="33"/>
    </row>
    <row r="14" spans="1:6" ht="39.75" customHeight="1">
      <c r="A14" s="18"/>
      <c r="B14" s="63" t="s">
        <v>105</v>
      </c>
      <c r="C14" s="64"/>
      <c r="D14" s="65"/>
      <c r="E14" s="66"/>
      <c r="F14" s="67"/>
    </row>
    <row r="15" spans="2:6" ht="30" customHeight="1">
      <c r="B15" s="90" t="s">
        <v>230</v>
      </c>
      <c r="C15" s="92"/>
      <c r="D15" s="92"/>
      <c r="E15" s="7">
        <v>10</v>
      </c>
      <c r="F15" s="8" t="s">
        <v>106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10" t="s">
        <v>107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321</v>
      </c>
      <c r="C20" s="6" t="s">
        <v>297</v>
      </c>
      <c r="D20" s="12"/>
      <c r="E20" s="13"/>
      <c r="F20" s="9"/>
      <c r="I20" s="32"/>
      <c r="J20" s="33"/>
    </row>
    <row r="21" spans="2:10" ht="30" customHeight="1">
      <c r="B21" s="5" t="s">
        <v>223</v>
      </c>
      <c r="C21" s="6" t="s">
        <v>333</v>
      </c>
      <c r="D21" s="3" t="s">
        <v>108</v>
      </c>
      <c r="E21" s="6" t="s">
        <v>97</v>
      </c>
      <c r="F21" s="38">
        <f>(0.165*0.165*3.14/4*0.6-0.0605*0.0605*3.14/4*0.35)*5</f>
        <v>0.059086606562500005</v>
      </c>
      <c r="I21" s="32"/>
      <c r="J21" s="33"/>
    </row>
    <row r="22" spans="2:10" ht="30" customHeight="1">
      <c r="B22" s="5" t="s">
        <v>222</v>
      </c>
      <c r="C22" s="6" t="s">
        <v>339</v>
      </c>
      <c r="D22" s="3" t="s">
        <v>109</v>
      </c>
      <c r="E22" s="6" t="s">
        <v>97</v>
      </c>
      <c r="F22" s="38">
        <f>(0.165*0.165*3.14/4*0.6-0.0605*0.0605*3.14/4*0.3)*5</f>
        <v>0.059804930625</v>
      </c>
      <c r="I22" s="32"/>
      <c r="J22" s="33"/>
    </row>
    <row r="23" spans="2:10" ht="30" customHeight="1">
      <c r="B23" s="5" t="s">
        <v>221</v>
      </c>
      <c r="C23" s="6" t="s">
        <v>339</v>
      </c>
      <c r="D23" s="3" t="s">
        <v>109</v>
      </c>
      <c r="E23" s="6" t="s">
        <v>97</v>
      </c>
      <c r="F23" s="38">
        <f>(0.165*0.165*3.14/4*0.6-0.0605*0.0605*3.14/4*0.3)*5</f>
        <v>0.059804930625</v>
      </c>
      <c r="I23" s="32"/>
      <c r="J23" s="33"/>
    </row>
    <row r="24" spans="2:10" ht="30" customHeight="1">
      <c r="B24" s="5" t="s">
        <v>343</v>
      </c>
      <c r="C24" s="6" t="s">
        <v>333</v>
      </c>
      <c r="D24" s="3" t="s">
        <v>108</v>
      </c>
      <c r="E24" s="6" t="s">
        <v>97</v>
      </c>
      <c r="F24" s="38">
        <f>(0.165*0.165*3.14/4*0.6-0.0605*0.0605*3.14/4*0.35)*5</f>
        <v>0.059086606562500005</v>
      </c>
      <c r="I24" s="32"/>
      <c r="J24" s="33"/>
    </row>
    <row r="25" spans="2:10" ht="30" customHeight="1">
      <c r="B25" s="5" t="s">
        <v>344</v>
      </c>
      <c r="C25" s="6" t="s">
        <v>339</v>
      </c>
      <c r="D25" s="3" t="s">
        <v>109</v>
      </c>
      <c r="E25" s="6" t="s">
        <v>97</v>
      </c>
      <c r="F25" s="38">
        <f>(0.165*0.165*3.14/4*0.6-0.0605*0.0605*3.14/4*0.3)*5</f>
        <v>0.059804930625</v>
      </c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SUM(J9:J32)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mergeCells count="2">
    <mergeCell ref="B4:D4"/>
    <mergeCell ref="B15:D15"/>
  </mergeCells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6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110</v>
      </c>
      <c r="C3" s="20"/>
      <c r="D3" s="21"/>
      <c r="E3" s="22"/>
      <c r="F3" s="23"/>
    </row>
    <row r="4" spans="2:6" ht="30" customHeight="1">
      <c r="B4" s="90" t="s">
        <v>231</v>
      </c>
      <c r="C4" s="92"/>
      <c r="D4" s="92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7" t="s">
        <v>131</v>
      </c>
      <c r="E7" s="6" t="s">
        <v>97</v>
      </c>
      <c r="F7" s="36">
        <f>(0.3+0.4)*(0.3+0.4)*0.83*10</f>
        <v>4.066999999999999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132</v>
      </c>
      <c r="E8" s="6" t="s">
        <v>97</v>
      </c>
      <c r="F8" s="36">
        <f>4.1-0.8</f>
        <v>3.3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177</v>
      </c>
      <c r="E9" s="6" t="s">
        <v>97</v>
      </c>
      <c r="F9" s="36">
        <f>(0.4*0.4*0.1+0.3*0.3*0.73)*10</f>
        <v>0.817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103</v>
      </c>
      <c r="E10" s="6" t="s">
        <v>393</v>
      </c>
      <c r="F10" s="36">
        <f>0.4*0.4*10</f>
        <v>1.6000000000000003</v>
      </c>
      <c r="I10" s="32"/>
      <c r="J10" s="33"/>
    </row>
    <row r="11" spans="2:10" ht="30" customHeight="1">
      <c r="B11" s="5" t="s">
        <v>291</v>
      </c>
      <c r="C11" s="6" t="s">
        <v>292</v>
      </c>
      <c r="D11" s="3" t="s">
        <v>103</v>
      </c>
      <c r="E11" s="6" t="s">
        <v>393</v>
      </c>
      <c r="F11" s="9">
        <f>0.4*0.4*10</f>
        <v>1.6000000000000003</v>
      </c>
      <c r="I11" s="32"/>
      <c r="J11" s="33"/>
    </row>
    <row r="12" spans="2:10" ht="30" customHeight="1">
      <c r="B12" s="5" t="s">
        <v>301</v>
      </c>
      <c r="C12" s="6" t="s">
        <v>302</v>
      </c>
      <c r="D12" s="37" t="s">
        <v>93</v>
      </c>
      <c r="E12" s="6" t="s">
        <v>97</v>
      </c>
      <c r="F12" s="38">
        <f>0.3*0.3*0.03*10</f>
        <v>0.026999999999999996</v>
      </c>
      <c r="I12" s="32"/>
      <c r="J12" s="33"/>
    </row>
    <row r="13" spans="2:10" ht="30" customHeight="1">
      <c r="B13" s="42" t="s">
        <v>330</v>
      </c>
      <c r="C13" s="13" t="s">
        <v>340</v>
      </c>
      <c r="D13" s="37">
        <v>10</v>
      </c>
      <c r="E13" s="13" t="s">
        <v>395</v>
      </c>
      <c r="F13" s="72">
        <f>10</f>
        <v>10</v>
      </c>
      <c r="I13" s="32"/>
      <c r="J13" s="33"/>
    </row>
    <row r="14" spans="1:6" ht="39.75" customHeight="1">
      <c r="A14" s="18"/>
      <c r="B14" s="63" t="s">
        <v>88</v>
      </c>
      <c r="C14" s="64"/>
      <c r="D14" s="65"/>
      <c r="E14" s="66"/>
      <c r="F14" s="67"/>
    </row>
    <row r="15" spans="2:6" ht="30" customHeight="1">
      <c r="B15" s="90" t="s">
        <v>231</v>
      </c>
      <c r="C15" s="92"/>
      <c r="D15" s="92"/>
      <c r="E15" s="7">
        <v>10</v>
      </c>
      <c r="F15" s="8" t="s">
        <v>162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10" t="s">
        <v>89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321</v>
      </c>
      <c r="C20" s="6" t="s">
        <v>297</v>
      </c>
      <c r="D20" s="12"/>
      <c r="E20" s="13"/>
      <c r="F20" s="9"/>
      <c r="I20" s="32"/>
      <c r="J20" s="33"/>
    </row>
    <row r="21" spans="2:10" ht="30" customHeight="1">
      <c r="B21" s="73" t="s">
        <v>220</v>
      </c>
      <c r="C21" s="6" t="s">
        <v>333</v>
      </c>
      <c r="D21" s="3" t="s">
        <v>133</v>
      </c>
      <c r="E21" s="6" t="s">
        <v>97</v>
      </c>
      <c r="F21" s="38">
        <f>(0.165*0.165*3.14/4*0.7-0.0605*0.0605*3.14/4*0.35)*5</f>
        <v>0.0697724190625</v>
      </c>
      <c r="I21" s="32"/>
      <c r="J21" s="33"/>
    </row>
    <row r="22" spans="2:10" ht="30" customHeight="1">
      <c r="B22" s="5" t="s">
        <v>219</v>
      </c>
      <c r="C22" s="6" t="s">
        <v>333</v>
      </c>
      <c r="D22" s="3" t="s">
        <v>133</v>
      </c>
      <c r="E22" s="6" t="s">
        <v>97</v>
      </c>
      <c r="F22" s="38">
        <f>(0.165*0.165*3.14/4*0.7-0.0605*0.0605*3.14/4*0.35)*5</f>
        <v>0.0697724190625</v>
      </c>
      <c r="I22" s="32"/>
      <c r="J22" s="33"/>
    </row>
    <row r="23" spans="2:10" ht="30" customHeight="1">
      <c r="B23" s="5" t="s">
        <v>218</v>
      </c>
      <c r="C23" s="6" t="s">
        <v>339</v>
      </c>
      <c r="D23" s="3" t="s">
        <v>134</v>
      </c>
      <c r="E23" s="6" t="s">
        <v>97</v>
      </c>
      <c r="F23" s="38">
        <f>(0.165*0.165*3.14/4*0.7-0.0605*0.0605*3.14/4*0.3)*5</f>
        <v>0.07049074312499999</v>
      </c>
      <c r="I23" s="32"/>
      <c r="J23" s="33"/>
    </row>
    <row r="24" spans="2:10" ht="30" customHeight="1">
      <c r="B24" s="5" t="s">
        <v>341</v>
      </c>
      <c r="C24" s="6" t="s">
        <v>333</v>
      </c>
      <c r="D24" s="3" t="s">
        <v>133</v>
      </c>
      <c r="E24" s="6" t="s">
        <v>97</v>
      </c>
      <c r="F24" s="38">
        <f>(0.165*0.165*3.14/4*0.7-0.0605*0.0605*3.14/4*0.35)*5</f>
        <v>0.0697724190625</v>
      </c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SUM(J9:J32)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mergeCells count="2">
    <mergeCell ref="B4:D4"/>
    <mergeCell ref="B15:D15"/>
  </mergeCells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7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232</v>
      </c>
      <c r="C3" s="20"/>
      <c r="D3" s="21"/>
      <c r="E3" s="22"/>
      <c r="F3" s="23"/>
    </row>
    <row r="4" spans="2:6" ht="30" customHeight="1">
      <c r="B4" s="90" t="s">
        <v>233</v>
      </c>
      <c r="C4" s="92"/>
      <c r="D4" s="92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7" t="s">
        <v>234</v>
      </c>
      <c r="E7" s="6" t="s">
        <v>97</v>
      </c>
      <c r="F7" s="36">
        <f>(0.35+0.4)*(0.35+0.4)*0.73*10</f>
        <v>4.10625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236</v>
      </c>
      <c r="E8" s="6" t="s">
        <v>97</v>
      </c>
      <c r="F8" s="36">
        <f>4.1-1</f>
        <v>3.0999999999999996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235</v>
      </c>
      <c r="E9" s="6" t="s">
        <v>97</v>
      </c>
      <c r="F9" s="36">
        <f>(0.45*0.45*0.1+0.35*0.35*0.63)*10</f>
        <v>0.97425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64</v>
      </c>
      <c r="E10" s="6" t="s">
        <v>393</v>
      </c>
      <c r="F10" s="36">
        <f>0.45*0.45*10</f>
        <v>2.0250000000000004</v>
      </c>
      <c r="I10" s="32"/>
      <c r="J10" s="33"/>
    </row>
    <row r="11" spans="2:10" ht="30" customHeight="1">
      <c r="B11" s="5" t="s">
        <v>291</v>
      </c>
      <c r="C11" s="6" t="s">
        <v>292</v>
      </c>
      <c r="D11" s="3" t="s">
        <v>64</v>
      </c>
      <c r="E11" s="6" t="s">
        <v>393</v>
      </c>
      <c r="F11" s="9">
        <f>0.45*0.45*10</f>
        <v>2.0250000000000004</v>
      </c>
      <c r="I11" s="32"/>
      <c r="J11" s="33"/>
    </row>
    <row r="12" spans="2:10" ht="30" customHeight="1">
      <c r="B12" s="5" t="s">
        <v>301</v>
      </c>
      <c r="C12" s="6" t="s">
        <v>302</v>
      </c>
      <c r="D12" s="37" t="s">
        <v>237</v>
      </c>
      <c r="E12" s="6" t="s">
        <v>97</v>
      </c>
      <c r="F12" s="38">
        <f>0.35*0.35*0.03*10</f>
        <v>0.03674999999999999</v>
      </c>
      <c r="I12" s="32"/>
      <c r="J12" s="33"/>
    </row>
    <row r="13" spans="2:10" ht="30" customHeight="1">
      <c r="B13" s="42" t="s">
        <v>330</v>
      </c>
      <c r="C13" s="13" t="s">
        <v>336</v>
      </c>
      <c r="D13" s="37">
        <v>10</v>
      </c>
      <c r="E13" s="13" t="s">
        <v>395</v>
      </c>
      <c r="F13" s="72">
        <f>10</f>
        <v>10</v>
      </c>
      <c r="I13" s="32"/>
      <c r="J13" s="33"/>
    </row>
    <row r="14" spans="1:6" ht="39.75" customHeight="1">
      <c r="A14" s="18"/>
      <c r="B14" s="63" t="s">
        <v>10</v>
      </c>
      <c r="C14" s="64"/>
      <c r="D14" s="65"/>
      <c r="E14" s="66"/>
      <c r="F14" s="67"/>
    </row>
    <row r="15" spans="2:6" ht="30" customHeight="1">
      <c r="B15" s="90" t="s">
        <v>233</v>
      </c>
      <c r="C15" s="92"/>
      <c r="D15" s="92"/>
      <c r="E15" s="7">
        <v>10</v>
      </c>
      <c r="F15" s="8" t="s">
        <v>11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10" t="s">
        <v>16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321</v>
      </c>
      <c r="C20" s="6" t="s">
        <v>297</v>
      </c>
      <c r="D20" s="12"/>
      <c r="E20" s="13"/>
      <c r="F20" s="9"/>
      <c r="I20" s="32"/>
      <c r="J20" s="33"/>
    </row>
    <row r="21" spans="2:10" ht="30" customHeight="1">
      <c r="B21" s="5" t="s">
        <v>337</v>
      </c>
      <c r="C21" s="6" t="s">
        <v>333</v>
      </c>
      <c r="D21" s="3" t="s">
        <v>108</v>
      </c>
      <c r="E21" s="6" t="s">
        <v>97</v>
      </c>
      <c r="F21" s="38">
        <f>(0.165*0.165*3.14/4*0.6-0.0605*0.0605*3.14/4*0.35)*5</f>
        <v>0.059086606562500005</v>
      </c>
      <c r="I21" s="32"/>
      <c r="J21" s="33"/>
    </row>
    <row r="22" spans="2:10" ht="30" customHeight="1">
      <c r="B22" s="5" t="s">
        <v>338</v>
      </c>
      <c r="C22" s="6" t="s">
        <v>339</v>
      </c>
      <c r="D22" s="3" t="s">
        <v>109</v>
      </c>
      <c r="E22" s="6" t="s">
        <v>97</v>
      </c>
      <c r="F22" s="38">
        <f>(0.165*0.165*3.14/4*0.6-0.0605*0.0605*3.14/4*0.3)*5</f>
        <v>0.059804930625</v>
      </c>
      <c r="I22" s="32"/>
      <c r="J22" s="33"/>
    </row>
    <row r="23" spans="2:10" ht="30" customHeight="1">
      <c r="B23" s="5"/>
      <c r="C23" s="6"/>
      <c r="D23" s="3"/>
      <c r="E23" s="6"/>
      <c r="F23" s="38"/>
      <c r="I23" s="32"/>
      <c r="J23" s="33"/>
    </row>
    <row r="24" spans="2:10" ht="30" customHeight="1">
      <c r="B24" s="5"/>
      <c r="C24" s="6"/>
      <c r="D24" s="3"/>
      <c r="E24" s="6"/>
      <c r="F24" s="38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SUM(J9:J32)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mergeCells count="2">
    <mergeCell ref="B4:D4"/>
    <mergeCell ref="B15:D15"/>
  </mergeCells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5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239</v>
      </c>
      <c r="C3" s="20"/>
      <c r="D3" s="21"/>
      <c r="E3" s="22"/>
      <c r="F3" s="23"/>
    </row>
    <row r="4" spans="2:6" ht="30" customHeight="1">
      <c r="B4" s="61" t="s">
        <v>238</v>
      </c>
      <c r="C4" s="25"/>
      <c r="D4" s="25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7" t="s">
        <v>138</v>
      </c>
      <c r="E7" s="6" t="s">
        <v>97</v>
      </c>
      <c r="F7" s="36">
        <f>(0.4+0.4)*(0.4+0.4)*0.73*10</f>
        <v>4.672000000000001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139</v>
      </c>
      <c r="E8" s="6" t="s">
        <v>97</v>
      </c>
      <c r="F8" s="36">
        <f>4.7-1.3</f>
        <v>3.4000000000000004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178</v>
      </c>
      <c r="E9" s="6" t="s">
        <v>97</v>
      </c>
      <c r="F9" s="36">
        <f>(0.5*0.5*0.1+0.4*0.4*0.63)*10</f>
        <v>1.2580000000000002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140</v>
      </c>
      <c r="E10" s="6" t="s">
        <v>393</v>
      </c>
      <c r="F10" s="36">
        <f>0.5*0.5*10</f>
        <v>2.5</v>
      </c>
      <c r="I10" s="32"/>
      <c r="J10" s="33"/>
    </row>
    <row r="11" spans="2:10" ht="30" customHeight="1">
      <c r="B11" s="5" t="s">
        <v>291</v>
      </c>
      <c r="C11" s="6" t="s">
        <v>292</v>
      </c>
      <c r="D11" s="3" t="s">
        <v>140</v>
      </c>
      <c r="E11" s="6" t="s">
        <v>393</v>
      </c>
      <c r="F11" s="9">
        <f>0.5*0.5*10</f>
        <v>2.5</v>
      </c>
      <c r="I11" s="32"/>
      <c r="J11" s="33"/>
    </row>
    <row r="12" spans="2:10" ht="30" customHeight="1">
      <c r="B12" s="5" t="s">
        <v>301</v>
      </c>
      <c r="C12" s="6" t="s">
        <v>302</v>
      </c>
      <c r="D12" s="37" t="s">
        <v>3</v>
      </c>
      <c r="E12" s="6" t="s">
        <v>97</v>
      </c>
      <c r="F12" s="38">
        <f>0.4*0.4*0.03*10</f>
        <v>0.048</v>
      </c>
      <c r="I12" s="32"/>
      <c r="J12" s="33"/>
    </row>
    <row r="13" spans="2:10" ht="30" customHeight="1">
      <c r="B13" s="42" t="s">
        <v>330</v>
      </c>
      <c r="C13" s="13" t="s">
        <v>334</v>
      </c>
      <c r="D13" s="37">
        <v>10</v>
      </c>
      <c r="E13" s="13" t="s">
        <v>395</v>
      </c>
      <c r="F13" s="72">
        <f>10</f>
        <v>10</v>
      </c>
      <c r="I13" s="32"/>
      <c r="J13" s="33"/>
    </row>
    <row r="14" spans="1:6" ht="39.75" customHeight="1">
      <c r="A14" s="18"/>
      <c r="B14" s="63" t="s">
        <v>135</v>
      </c>
      <c r="C14" s="64"/>
      <c r="D14" s="65"/>
      <c r="E14" s="66"/>
      <c r="F14" s="67"/>
    </row>
    <row r="15" spans="2:6" ht="30" customHeight="1">
      <c r="B15" s="61" t="s">
        <v>238</v>
      </c>
      <c r="C15" s="25"/>
      <c r="D15" s="25"/>
      <c r="E15" s="7">
        <v>10</v>
      </c>
      <c r="F15" s="8" t="s">
        <v>136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10" t="s">
        <v>137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321</v>
      </c>
      <c r="C20" s="6" t="s">
        <v>297</v>
      </c>
      <c r="D20" s="12"/>
      <c r="E20" s="13"/>
      <c r="F20" s="9"/>
      <c r="I20" s="32"/>
      <c r="J20" s="33"/>
    </row>
    <row r="21" spans="2:10" ht="30" customHeight="1">
      <c r="B21" s="5" t="s">
        <v>217</v>
      </c>
      <c r="C21" s="6" t="s">
        <v>333</v>
      </c>
      <c r="D21" s="3" t="s">
        <v>108</v>
      </c>
      <c r="E21" s="6" t="s">
        <v>97</v>
      </c>
      <c r="F21" s="38">
        <f>(0.165*0.165*3.14/4*0.6-0.0605*0.0605*3.14/4*0.35)*5</f>
        <v>0.059086606562500005</v>
      </c>
      <c r="I21" s="32"/>
      <c r="J21" s="33"/>
    </row>
    <row r="22" spans="2:10" ht="30" customHeight="1">
      <c r="B22" s="5" t="s">
        <v>216</v>
      </c>
      <c r="C22" s="6" t="s">
        <v>333</v>
      </c>
      <c r="D22" s="3" t="s">
        <v>108</v>
      </c>
      <c r="E22" s="6" t="s">
        <v>97</v>
      </c>
      <c r="F22" s="38">
        <f>(0.165*0.165*3.14/4*0.6-0.0605*0.0605*3.14/4*0.35)*5</f>
        <v>0.059086606562500005</v>
      </c>
      <c r="I22" s="32"/>
      <c r="J22" s="33"/>
    </row>
    <row r="23" spans="2:10" ht="30" customHeight="1">
      <c r="B23" s="5" t="s">
        <v>335</v>
      </c>
      <c r="C23" s="6" t="s">
        <v>333</v>
      </c>
      <c r="D23" s="3" t="s">
        <v>108</v>
      </c>
      <c r="E23" s="6" t="s">
        <v>97</v>
      </c>
      <c r="F23" s="38">
        <f>(0.165*0.165*3.14/4*0.6-0.0605*0.0605*3.14/4*0.35)*5</f>
        <v>0.059086606562500005</v>
      </c>
      <c r="I23" s="32"/>
      <c r="J23" s="33"/>
    </row>
    <row r="24" spans="2:10" ht="30" customHeight="1">
      <c r="B24" s="5"/>
      <c r="C24" s="6"/>
      <c r="D24" s="3"/>
      <c r="E24" s="6"/>
      <c r="F24" s="38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SUM(J9:J32)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4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240</v>
      </c>
      <c r="C3" s="20"/>
      <c r="D3" s="21"/>
      <c r="E3" s="22"/>
      <c r="F3" s="23"/>
    </row>
    <row r="4" spans="2:6" ht="30" customHeight="1">
      <c r="B4" s="61" t="s">
        <v>241</v>
      </c>
      <c r="C4" s="25"/>
      <c r="D4" s="25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7" t="s">
        <v>242</v>
      </c>
      <c r="E7" s="6" t="s">
        <v>97</v>
      </c>
      <c r="F7" s="36">
        <f>(0.4+0.4)*(0.4+0.4)*0.83*10</f>
        <v>5.312000000000001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244</v>
      </c>
      <c r="E8" s="6" t="s">
        <v>97</v>
      </c>
      <c r="F8" s="36">
        <f>5.3-1.4</f>
        <v>3.9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243</v>
      </c>
      <c r="E9" s="6" t="s">
        <v>97</v>
      </c>
      <c r="F9" s="36">
        <f>(0.5*0.5*0.1+0.4*0.4*0.73)*10</f>
        <v>1.4180000000000001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81</v>
      </c>
      <c r="E10" s="6" t="s">
        <v>393</v>
      </c>
      <c r="F10" s="36">
        <f>0.5*0.5*10</f>
        <v>2.5</v>
      </c>
      <c r="I10" s="32"/>
      <c r="J10" s="33"/>
    </row>
    <row r="11" spans="2:10" ht="30" customHeight="1">
      <c r="B11" s="5" t="s">
        <v>291</v>
      </c>
      <c r="C11" s="6" t="s">
        <v>292</v>
      </c>
      <c r="D11" s="3" t="s">
        <v>81</v>
      </c>
      <c r="E11" s="6" t="s">
        <v>393</v>
      </c>
      <c r="F11" s="9">
        <f>0.5*0.5*10</f>
        <v>2.5</v>
      </c>
      <c r="I11" s="32"/>
      <c r="J11" s="33"/>
    </row>
    <row r="12" spans="2:10" ht="30" customHeight="1">
      <c r="B12" s="5" t="s">
        <v>301</v>
      </c>
      <c r="C12" s="6" t="s">
        <v>302</v>
      </c>
      <c r="D12" s="37" t="s">
        <v>3</v>
      </c>
      <c r="E12" s="6" t="s">
        <v>97</v>
      </c>
      <c r="F12" s="38">
        <f>0.4*0.4*0.03*10</f>
        <v>0.048</v>
      </c>
      <c r="I12" s="32"/>
      <c r="J12" s="33"/>
    </row>
    <row r="13" spans="2:10" ht="30" customHeight="1">
      <c r="B13" s="42" t="s">
        <v>330</v>
      </c>
      <c r="C13" s="13" t="s">
        <v>331</v>
      </c>
      <c r="D13" s="37">
        <v>10</v>
      </c>
      <c r="E13" s="13" t="s">
        <v>395</v>
      </c>
      <c r="F13" s="72">
        <f>10</f>
        <v>10</v>
      </c>
      <c r="I13" s="32"/>
      <c r="J13" s="33"/>
    </row>
    <row r="14" spans="1:6" ht="39.75" customHeight="1">
      <c r="A14" s="18"/>
      <c r="B14" s="63" t="s">
        <v>10</v>
      </c>
      <c r="C14" s="64"/>
      <c r="D14" s="65"/>
      <c r="E14" s="66"/>
      <c r="F14" s="67"/>
    </row>
    <row r="15" spans="2:6" ht="30" customHeight="1">
      <c r="B15" s="61" t="s">
        <v>241</v>
      </c>
      <c r="C15" s="25"/>
      <c r="D15" s="25"/>
      <c r="E15" s="7">
        <v>10</v>
      </c>
      <c r="F15" s="8" t="s">
        <v>11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10" t="s">
        <v>16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321</v>
      </c>
      <c r="C20" s="6" t="s">
        <v>297</v>
      </c>
      <c r="D20" s="12"/>
      <c r="E20" s="13"/>
      <c r="F20" s="9"/>
      <c r="I20" s="32"/>
      <c r="J20" s="33"/>
    </row>
    <row r="21" spans="2:10" ht="30" customHeight="1">
      <c r="B21" s="5" t="s">
        <v>332</v>
      </c>
      <c r="C21" s="6" t="s">
        <v>333</v>
      </c>
      <c r="D21" s="3" t="s">
        <v>133</v>
      </c>
      <c r="E21" s="6" t="s">
        <v>97</v>
      </c>
      <c r="F21" s="38">
        <f>(0.165*0.165*3.14/4*0.7-0.0605*0.0605*3.14/4*0.35)*5</f>
        <v>0.0697724190625</v>
      </c>
      <c r="I21" s="32"/>
      <c r="J21" s="33"/>
    </row>
    <row r="22" spans="2:10" ht="30" customHeight="1">
      <c r="B22" s="5"/>
      <c r="C22" s="6"/>
      <c r="D22" s="3"/>
      <c r="E22" s="6"/>
      <c r="F22" s="38"/>
      <c r="I22" s="32"/>
      <c r="J22" s="33"/>
    </row>
    <row r="23" spans="2:10" ht="30" customHeight="1">
      <c r="B23" s="5"/>
      <c r="C23" s="6"/>
      <c r="D23" s="3"/>
      <c r="E23" s="6"/>
      <c r="F23" s="38"/>
      <c r="I23" s="32"/>
      <c r="J23" s="33"/>
    </row>
    <row r="24" spans="2:10" ht="30" customHeight="1">
      <c r="B24" s="5"/>
      <c r="C24" s="6"/>
      <c r="D24" s="3"/>
      <c r="E24" s="6"/>
      <c r="F24" s="38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SUM(J9:J32)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4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285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68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179</v>
      </c>
      <c r="E7" s="6" t="s">
        <v>97</v>
      </c>
      <c r="F7" s="36">
        <f>0.885*0.42*10</f>
        <v>3.7169999999999996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181</v>
      </c>
      <c r="E8" s="6" t="s">
        <v>97</v>
      </c>
      <c r="F8" s="34">
        <f>3.7-1.8</f>
        <v>1.9000000000000001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180</v>
      </c>
      <c r="E9" s="6" t="s">
        <v>97</v>
      </c>
      <c r="F9" s="36">
        <f>(0.485*0.1+0.435*0.07+(0.435+0.1)/2*0.1+(0.15*1.044+0.25*1.044)/2*0.35)*10</f>
        <v>1.7877999999999998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182</v>
      </c>
      <c r="E10" s="6" t="s">
        <v>393</v>
      </c>
      <c r="F10" s="36">
        <f>0.485*10</f>
        <v>4.85</v>
      </c>
      <c r="I10" s="32"/>
      <c r="J10" s="33"/>
    </row>
    <row r="11" spans="2:10" ht="30" customHeight="1">
      <c r="B11" s="5" t="s">
        <v>291</v>
      </c>
      <c r="C11" s="6" t="s">
        <v>292</v>
      </c>
      <c r="D11" s="35" t="s">
        <v>182</v>
      </c>
      <c r="E11" s="6" t="s">
        <v>393</v>
      </c>
      <c r="F11" s="9">
        <f>0.485*10</f>
        <v>4.85</v>
      </c>
      <c r="I11" s="32"/>
      <c r="J11" s="33"/>
    </row>
    <row r="12" spans="2:10" ht="30" customHeight="1">
      <c r="B12" s="5" t="s">
        <v>381</v>
      </c>
      <c r="C12" s="6" t="s">
        <v>382</v>
      </c>
      <c r="D12" s="37" t="s">
        <v>158</v>
      </c>
      <c r="E12" s="6" t="s">
        <v>97</v>
      </c>
      <c r="F12" s="9">
        <f>0.19*0.65*10</f>
        <v>1.235</v>
      </c>
      <c r="I12" s="32"/>
      <c r="J12" s="33"/>
    </row>
    <row r="13" spans="2:10" ht="30" customHeight="1">
      <c r="B13" s="5" t="s">
        <v>320</v>
      </c>
      <c r="C13" s="6">
        <v>0</v>
      </c>
      <c r="D13" s="37" t="s">
        <v>183</v>
      </c>
      <c r="E13" s="6" t="s">
        <v>393</v>
      </c>
      <c r="F13" s="9">
        <f>(0.07+0.17)*10</f>
        <v>2.4000000000000004</v>
      </c>
      <c r="I13" s="32"/>
      <c r="J13" s="33"/>
    </row>
    <row r="14" spans="2:10" ht="30" customHeight="1">
      <c r="B14" s="5" t="s">
        <v>387</v>
      </c>
      <c r="C14" s="6">
        <v>0</v>
      </c>
      <c r="D14" s="35" t="s">
        <v>191</v>
      </c>
      <c r="E14" s="6" t="s">
        <v>393</v>
      </c>
      <c r="F14" s="9">
        <f>1.05*1.044*10</f>
        <v>10.962</v>
      </c>
      <c r="I14" s="32"/>
      <c r="J14" s="33"/>
    </row>
    <row r="15" spans="2:10" ht="30" customHeight="1">
      <c r="B15" s="5" t="s">
        <v>388</v>
      </c>
      <c r="C15" s="6" t="s">
        <v>295</v>
      </c>
      <c r="D15" s="39" t="s">
        <v>185</v>
      </c>
      <c r="E15" s="6" t="s">
        <v>97</v>
      </c>
      <c r="F15" s="9">
        <f>(0.07*0.435+(0.1+0.435)/2*0.1)*10</f>
        <v>0.5720000000000001</v>
      </c>
      <c r="I15" s="32"/>
      <c r="J15" s="33"/>
    </row>
    <row r="16" spans="2:10" ht="30" customHeight="1">
      <c r="B16" s="5" t="s">
        <v>389</v>
      </c>
      <c r="C16" s="6" t="s">
        <v>295</v>
      </c>
      <c r="D16" s="4" t="s">
        <v>192</v>
      </c>
      <c r="E16" s="6" t="s">
        <v>97</v>
      </c>
      <c r="F16" s="9">
        <f>0.17*10.96</f>
        <v>1.8632000000000002</v>
      </c>
      <c r="I16" s="32"/>
      <c r="J16" s="33"/>
    </row>
    <row r="17" spans="2:10" ht="30" customHeight="1">
      <c r="B17" s="5" t="s">
        <v>390</v>
      </c>
      <c r="C17" s="6" t="s">
        <v>391</v>
      </c>
      <c r="D17" s="10" t="s">
        <v>193</v>
      </c>
      <c r="E17" s="6" t="s">
        <v>393</v>
      </c>
      <c r="F17" s="9">
        <f>1.096*10</f>
        <v>10.96</v>
      </c>
      <c r="I17" s="32"/>
      <c r="J17" s="33"/>
    </row>
    <row r="18" spans="2:10" ht="30" customHeight="1">
      <c r="B18" s="5" t="s">
        <v>383</v>
      </c>
      <c r="C18" s="6" t="s">
        <v>384</v>
      </c>
      <c r="D18" s="10" t="s">
        <v>194</v>
      </c>
      <c r="E18" s="6" t="s">
        <v>397</v>
      </c>
      <c r="F18" s="9">
        <f>0.9*1.044*10/2*0.36</f>
        <v>1.6912800000000001</v>
      </c>
      <c r="I18" s="32"/>
      <c r="J18" s="33"/>
    </row>
    <row r="19" spans="2:10" ht="30" customHeight="1">
      <c r="B19" s="5" t="s">
        <v>385</v>
      </c>
      <c r="C19" s="6" t="s">
        <v>386</v>
      </c>
      <c r="D19" s="10" t="s">
        <v>195</v>
      </c>
      <c r="E19" s="6" t="s">
        <v>393</v>
      </c>
      <c r="F19" s="9">
        <f>0.9*1.044*10/2*0.1*0.1</f>
        <v>0.04698000000000001</v>
      </c>
      <c r="I19" s="32"/>
      <c r="J19" s="33"/>
    </row>
    <row r="20" spans="2:10" ht="30" customHeight="1">
      <c r="B20" s="5" t="s">
        <v>392</v>
      </c>
      <c r="C20" s="6">
        <v>0</v>
      </c>
      <c r="D20" s="10" t="s">
        <v>196</v>
      </c>
      <c r="E20" s="6" t="s">
        <v>393</v>
      </c>
      <c r="F20" s="9">
        <f>0.35*1.044+0.435*0.07+(0.435+0.1)/2*0.1</f>
        <v>0.4226</v>
      </c>
      <c r="I20" s="32"/>
      <c r="J20" s="33"/>
    </row>
    <row r="21" spans="2:10" ht="30" customHeight="1">
      <c r="B21" s="5"/>
      <c r="C21" s="6"/>
      <c r="D21" s="37"/>
      <c r="E21" s="13"/>
      <c r="F21" s="36"/>
      <c r="I21" s="32"/>
      <c r="J21" s="33"/>
    </row>
    <row r="22" spans="2:10" ht="30" customHeight="1">
      <c r="B22" s="5"/>
      <c r="C22" s="6"/>
      <c r="D22" s="12"/>
      <c r="E22" s="13"/>
      <c r="F22" s="36"/>
      <c r="I22" s="32"/>
      <c r="J22" s="33"/>
    </row>
    <row r="23" spans="2:10" ht="30" customHeight="1">
      <c r="B23" s="5"/>
      <c r="C23" s="6"/>
      <c r="D23" s="12"/>
      <c r="E23" s="13"/>
      <c r="F23" s="41"/>
      <c r="I23" s="32"/>
      <c r="J23" s="33"/>
    </row>
    <row r="24" spans="2:10" ht="30" customHeight="1">
      <c r="B24" s="5"/>
      <c r="C24" s="6"/>
      <c r="D24" s="10"/>
      <c r="E24" s="13"/>
      <c r="F24" s="11"/>
      <c r="I24" s="32"/>
      <c r="J24" s="33"/>
    </row>
    <row r="25" spans="2:10" ht="30" customHeight="1">
      <c r="B25" s="5"/>
      <c r="C25" s="6"/>
      <c r="D25" s="10"/>
      <c r="E25" s="13"/>
      <c r="F25" s="11"/>
      <c r="I25" s="32"/>
      <c r="J25" s="33"/>
    </row>
    <row r="26" spans="2:10" ht="30" customHeight="1">
      <c r="B26" s="5"/>
      <c r="C26" s="6"/>
      <c r="D26" s="37"/>
      <c r="E26" s="13"/>
      <c r="F26" s="36"/>
      <c r="I26" s="32"/>
      <c r="J26" s="33"/>
    </row>
    <row r="27" spans="2:10" ht="30" customHeight="1">
      <c r="B27" s="5"/>
      <c r="C27" s="6"/>
      <c r="D27" s="37"/>
      <c r="E27" s="6"/>
      <c r="F27" s="41"/>
      <c r="I27" s="32"/>
      <c r="J27" s="33"/>
    </row>
    <row r="28" spans="2:10" ht="30" customHeight="1">
      <c r="B28" s="5"/>
      <c r="C28" s="6"/>
      <c r="D28" s="12"/>
      <c r="E28" s="13"/>
      <c r="F28" s="9"/>
      <c r="I28" s="32"/>
      <c r="J28" s="33"/>
    </row>
    <row r="29" spans="2:10" ht="30" customHeight="1" thickBot="1">
      <c r="B29" s="43"/>
      <c r="C29" s="44"/>
      <c r="D29" s="45"/>
      <c r="E29" s="44"/>
      <c r="F29" s="46"/>
      <c r="I29" s="32"/>
      <c r="J29" s="33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198</v>
      </c>
      <c r="C3" s="20"/>
      <c r="D3" s="21"/>
      <c r="E3" s="22"/>
      <c r="F3" s="23"/>
    </row>
    <row r="4" spans="2:6" ht="30" customHeight="1">
      <c r="B4" s="61" t="s">
        <v>141</v>
      </c>
      <c r="C4" s="25"/>
      <c r="D4" s="25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142</v>
      </c>
      <c r="E7" s="6" t="s">
        <v>97</v>
      </c>
      <c r="F7" s="36">
        <f>0.6*0.6*3.14/4*1.05*10</f>
        <v>2.9673000000000007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144</v>
      </c>
      <c r="E8" s="6" t="s">
        <v>97</v>
      </c>
      <c r="F8" s="34">
        <f>3-2.7</f>
        <v>0.2999999999999998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143</v>
      </c>
      <c r="E9" s="6" t="s">
        <v>97</v>
      </c>
      <c r="F9" s="36">
        <f>(0.6*0.6*3.14/4*0.95+0.2*0.2*3.14/4*0.1)*10</f>
        <v>2.7160999999999995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145</v>
      </c>
      <c r="E10" s="6" t="s">
        <v>393</v>
      </c>
      <c r="F10" s="36">
        <f>0.6*0.6*3.14/4*10</f>
        <v>2.826</v>
      </c>
      <c r="I10" s="32"/>
      <c r="J10" s="33"/>
    </row>
    <row r="11" spans="2:10" ht="30" customHeight="1">
      <c r="B11" s="5" t="s">
        <v>291</v>
      </c>
      <c r="C11" s="6" t="s">
        <v>323</v>
      </c>
      <c r="D11" s="3" t="s">
        <v>145</v>
      </c>
      <c r="E11" s="6" t="s">
        <v>393</v>
      </c>
      <c r="F11" s="62">
        <f>0.6*0.6*3.14/4*10</f>
        <v>2.826</v>
      </c>
      <c r="I11" s="32"/>
      <c r="J11" s="33"/>
    </row>
    <row r="12" spans="2:10" ht="30" customHeight="1">
      <c r="B12" s="5" t="s">
        <v>305</v>
      </c>
      <c r="C12" s="6" t="s">
        <v>329</v>
      </c>
      <c r="D12" s="37" t="s">
        <v>146</v>
      </c>
      <c r="E12" s="6" t="s">
        <v>397</v>
      </c>
      <c r="F12" s="62">
        <f>0.8*10</f>
        <v>8</v>
      </c>
      <c r="I12" s="32"/>
      <c r="J12" s="33"/>
    </row>
    <row r="13" spans="2:10" ht="30" customHeight="1">
      <c r="B13" s="5" t="s">
        <v>294</v>
      </c>
      <c r="C13" s="6" t="s">
        <v>295</v>
      </c>
      <c r="D13" s="37" t="s">
        <v>75</v>
      </c>
      <c r="E13" s="6" t="s">
        <v>97</v>
      </c>
      <c r="F13" s="53">
        <f>(0.6*0.6*3.14/4*0.8-0.0605*0.0605*3.14/4*0.4)*10</f>
        <v>2.249306815</v>
      </c>
      <c r="I13" s="32"/>
      <c r="J13" s="33"/>
    </row>
    <row r="14" spans="1:6" ht="39.75" customHeight="1">
      <c r="A14" s="18"/>
      <c r="B14" s="63" t="s">
        <v>88</v>
      </c>
      <c r="C14" s="64"/>
      <c r="D14" s="65"/>
      <c r="E14" s="66"/>
      <c r="F14" s="67"/>
    </row>
    <row r="15" spans="2:6" ht="30" customHeight="1">
      <c r="B15" s="61" t="s">
        <v>141</v>
      </c>
      <c r="C15" s="25"/>
      <c r="D15" s="25"/>
      <c r="E15" s="7">
        <v>10</v>
      </c>
      <c r="F15" s="8" t="s">
        <v>162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10" t="s">
        <v>89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327</v>
      </c>
      <c r="C20" s="6" t="s">
        <v>297</v>
      </c>
      <c r="D20" s="4" t="s">
        <v>147</v>
      </c>
      <c r="E20" s="6" t="s">
        <v>97</v>
      </c>
      <c r="F20" s="68">
        <f>(0.2*0.2-0.0605*0.0605)*3.14/4*0.1*5</f>
        <v>0.014263351875000007</v>
      </c>
      <c r="I20" s="32"/>
      <c r="J20" s="33"/>
    </row>
    <row r="21" spans="2:10" ht="30" customHeight="1">
      <c r="B21" s="5"/>
      <c r="C21" s="6"/>
      <c r="D21" s="3"/>
      <c r="E21" s="6"/>
      <c r="F21" s="38"/>
      <c r="I21" s="32"/>
      <c r="J21" s="33"/>
    </row>
    <row r="22" spans="2:10" ht="30" customHeight="1">
      <c r="B22" s="5"/>
      <c r="C22" s="6"/>
      <c r="D22" s="3"/>
      <c r="E22" s="6"/>
      <c r="F22" s="38"/>
      <c r="I22" s="32"/>
      <c r="J22" s="33"/>
    </row>
    <row r="23" spans="2:10" ht="30" customHeight="1">
      <c r="B23" s="5"/>
      <c r="C23" s="6"/>
      <c r="D23" s="3"/>
      <c r="E23" s="6"/>
      <c r="F23" s="38"/>
      <c r="I23" s="32"/>
      <c r="J23" s="33"/>
    </row>
    <row r="24" spans="2:10" ht="30" customHeight="1">
      <c r="B24" s="5"/>
      <c r="C24" s="6"/>
      <c r="D24" s="3"/>
      <c r="E24" s="6"/>
      <c r="F24" s="38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SUM(J14:J32)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199</v>
      </c>
      <c r="C3" s="20"/>
      <c r="D3" s="21"/>
      <c r="E3" s="22"/>
      <c r="F3" s="23"/>
    </row>
    <row r="4" spans="2:6" ht="30" customHeight="1">
      <c r="B4" s="61" t="s">
        <v>245</v>
      </c>
      <c r="C4" s="25"/>
      <c r="D4" s="25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149</v>
      </c>
      <c r="E7" s="6" t="s">
        <v>97</v>
      </c>
      <c r="F7" s="36">
        <f>0.6*0.6*3.14/4*1.15*10</f>
        <v>3.2499000000000002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9</v>
      </c>
      <c r="E8" s="6" t="s">
        <v>97</v>
      </c>
      <c r="F8" s="34">
        <f>1.6-1.5</f>
        <v>0.10000000000000009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150</v>
      </c>
      <c r="E9" s="6" t="s">
        <v>97</v>
      </c>
      <c r="F9" s="36">
        <f>(0.6*0.6*3.14/4*1.05+0.2*0.2*3.14/4*0.1)*10</f>
        <v>2.9987000000000004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6</v>
      </c>
      <c r="E10" s="6" t="s">
        <v>393</v>
      </c>
      <c r="F10" s="36">
        <f>0.6*0.6*3.14/4*10</f>
        <v>2.826</v>
      </c>
      <c r="I10" s="32"/>
      <c r="J10" s="33"/>
    </row>
    <row r="11" spans="2:10" ht="30" customHeight="1">
      <c r="B11" s="5" t="s">
        <v>291</v>
      </c>
      <c r="C11" s="6" t="s">
        <v>323</v>
      </c>
      <c r="D11" s="3" t="s">
        <v>6</v>
      </c>
      <c r="E11" s="6" t="s">
        <v>393</v>
      </c>
      <c r="F11" s="62">
        <f>0.6*0.6*3.14/4*10</f>
        <v>2.826</v>
      </c>
      <c r="I11" s="32"/>
      <c r="J11" s="33"/>
    </row>
    <row r="12" spans="2:10" ht="30" customHeight="1">
      <c r="B12" s="5" t="s">
        <v>305</v>
      </c>
      <c r="C12" s="6" t="s">
        <v>329</v>
      </c>
      <c r="D12" s="37" t="s">
        <v>7</v>
      </c>
      <c r="E12" s="6" t="s">
        <v>397</v>
      </c>
      <c r="F12" s="62">
        <f>0.9*10</f>
        <v>9</v>
      </c>
      <c r="I12" s="32"/>
      <c r="J12" s="33"/>
    </row>
    <row r="13" spans="2:10" ht="30" customHeight="1">
      <c r="B13" s="5" t="s">
        <v>294</v>
      </c>
      <c r="C13" s="6" t="s">
        <v>295</v>
      </c>
      <c r="D13" s="37" t="s">
        <v>8</v>
      </c>
      <c r="E13" s="6" t="s">
        <v>97</v>
      </c>
      <c r="F13" s="53">
        <f>(0.6*0.6*3.14/4*0.9-0.0605*0.0605*3.14/4*0.4)*10</f>
        <v>2.531906815</v>
      </c>
      <c r="I13" s="32"/>
      <c r="J13" s="33"/>
    </row>
    <row r="14" spans="1:6" ht="39.75" customHeight="1">
      <c r="A14" s="18"/>
      <c r="B14" s="63" t="s">
        <v>88</v>
      </c>
      <c r="C14" s="64"/>
      <c r="D14" s="65"/>
      <c r="E14" s="66"/>
      <c r="F14" s="67"/>
    </row>
    <row r="15" spans="2:6" ht="30" customHeight="1">
      <c r="B15" s="61" t="s">
        <v>245</v>
      </c>
      <c r="C15" s="25"/>
      <c r="D15" s="25"/>
      <c r="E15" s="7">
        <v>10</v>
      </c>
      <c r="F15" s="8" t="s">
        <v>162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10" t="s">
        <v>89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327</v>
      </c>
      <c r="C20" s="6" t="s">
        <v>297</v>
      </c>
      <c r="D20" s="4" t="s">
        <v>148</v>
      </c>
      <c r="E20" s="6" t="s">
        <v>97</v>
      </c>
      <c r="F20" s="68">
        <f>(0.2*0.2-0.0605*0.0605)*3.14/4*0.1*5</f>
        <v>0.014263351875000007</v>
      </c>
      <c r="I20" s="32"/>
      <c r="J20" s="33"/>
    </row>
    <row r="21" spans="2:10" ht="30" customHeight="1">
      <c r="B21" s="5"/>
      <c r="C21" s="6"/>
      <c r="D21" s="3"/>
      <c r="E21" s="6"/>
      <c r="F21" s="38"/>
      <c r="I21" s="32"/>
      <c r="J21" s="33"/>
    </row>
    <row r="22" spans="2:10" ht="30" customHeight="1">
      <c r="B22" s="5"/>
      <c r="C22" s="6"/>
      <c r="D22" s="3"/>
      <c r="E22" s="6"/>
      <c r="F22" s="38"/>
      <c r="I22" s="32"/>
      <c r="J22" s="33"/>
    </row>
    <row r="23" spans="2:10" ht="30" customHeight="1">
      <c r="B23" s="5"/>
      <c r="C23" s="6"/>
      <c r="D23" s="3"/>
      <c r="E23" s="6"/>
      <c r="F23" s="38"/>
      <c r="I23" s="32"/>
      <c r="J23" s="33"/>
    </row>
    <row r="24" spans="2:10" ht="30" customHeight="1">
      <c r="B24" s="5"/>
      <c r="C24" s="6"/>
      <c r="D24" s="3"/>
      <c r="E24" s="6"/>
      <c r="F24" s="38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SUM(J14:J32)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250</v>
      </c>
      <c r="C3" s="20"/>
      <c r="D3" s="21"/>
      <c r="E3" s="22"/>
      <c r="F3" s="23"/>
    </row>
    <row r="4" spans="2:6" ht="30" customHeight="1">
      <c r="B4" s="61" t="s">
        <v>252</v>
      </c>
      <c r="C4" s="25"/>
      <c r="D4" s="25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246</v>
      </c>
      <c r="E7" s="6" t="s">
        <v>97</v>
      </c>
      <c r="F7" s="36">
        <f>0.6*0.6*3.14/4*1.2*10</f>
        <v>3.3912000000000004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248</v>
      </c>
      <c r="E8" s="6" t="s">
        <v>97</v>
      </c>
      <c r="F8" s="34">
        <f>3.4-3.1</f>
        <v>0.2999999999999998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247</v>
      </c>
      <c r="E9" s="6" t="s">
        <v>97</v>
      </c>
      <c r="F9" s="36">
        <f>(0.6*0.6*3.14/4*1.1+0.2*0.2*3.14/4*0.1)*10</f>
        <v>3.14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6</v>
      </c>
      <c r="E10" s="6" t="s">
        <v>393</v>
      </c>
      <c r="F10" s="36">
        <f>0.6*0.6*3.14/4*10</f>
        <v>2.826</v>
      </c>
      <c r="I10" s="32"/>
      <c r="J10" s="33"/>
    </row>
    <row r="11" spans="2:10" ht="30" customHeight="1">
      <c r="B11" s="5" t="s">
        <v>291</v>
      </c>
      <c r="C11" s="6" t="s">
        <v>323</v>
      </c>
      <c r="D11" s="3" t="s">
        <v>6</v>
      </c>
      <c r="E11" s="6" t="s">
        <v>393</v>
      </c>
      <c r="F11" s="62">
        <f>0.6*0.6*3.14/4*10</f>
        <v>2.826</v>
      </c>
      <c r="I11" s="32"/>
      <c r="J11" s="33"/>
    </row>
    <row r="12" spans="2:10" ht="30" customHeight="1">
      <c r="B12" s="5" t="s">
        <v>305</v>
      </c>
      <c r="C12" s="6" t="s">
        <v>329</v>
      </c>
      <c r="D12" s="37" t="s">
        <v>249</v>
      </c>
      <c r="E12" s="6" t="s">
        <v>397</v>
      </c>
      <c r="F12" s="62">
        <f>0.95*10</f>
        <v>9.5</v>
      </c>
      <c r="I12" s="32"/>
      <c r="J12" s="33"/>
    </row>
    <row r="13" spans="2:10" ht="30" customHeight="1">
      <c r="B13" s="5" t="s">
        <v>294</v>
      </c>
      <c r="C13" s="6" t="s">
        <v>295</v>
      </c>
      <c r="D13" s="37" t="s">
        <v>251</v>
      </c>
      <c r="E13" s="6" t="s">
        <v>97</v>
      </c>
      <c r="F13" s="53">
        <f>(0.6*0.6*3.14/4*0.95-0.0605*0.0605*3.14/4*0.5)*10</f>
        <v>2.6703335187499997</v>
      </c>
      <c r="I13" s="32"/>
      <c r="J13" s="33"/>
    </row>
    <row r="14" spans="1:6" ht="39.75" customHeight="1">
      <c r="A14" s="18"/>
      <c r="B14" s="63" t="s">
        <v>10</v>
      </c>
      <c r="C14" s="64"/>
      <c r="D14" s="65"/>
      <c r="E14" s="66"/>
      <c r="F14" s="67"/>
    </row>
    <row r="15" spans="2:6" ht="30" customHeight="1">
      <c r="B15" s="61" t="s">
        <v>252</v>
      </c>
      <c r="C15" s="25"/>
      <c r="D15" s="25"/>
      <c r="E15" s="7">
        <v>10</v>
      </c>
      <c r="F15" s="8" t="s">
        <v>11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10" t="s">
        <v>16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327</v>
      </c>
      <c r="C20" s="6" t="s">
        <v>297</v>
      </c>
      <c r="D20" s="4" t="s">
        <v>85</v>
      </c>
      <c r="E20" s="6" t="s">
        <v>97</v>
      </c>
      <c r="F20" s="68">
        <f>(0.2*0.2-0.0605*0.0605)*3.14/4*0.1*5</f>
        <v>0.014263351875000007</v>
      </c>
      <c r="I20" s="32"/>
      <c r="J20" s="33"/>
    </row>
    <row r="21" spans="2:10" ht="30" customHeight="1">
      <c r="B21" s="5"/>
      <c r="C21" s="6"/>
      <c r="D21" s="3"/>
      <c r="E21" s="6"/>
      <c r="F21" s="38"/>
      <c r="I21" s="32"/>
      <c r="J21" s="33"/>
    </row>
    <row r="22" spans="2:10" ht="30" customHeight="1">
      <c r="B22" s="5"/>
      <c r="C22" s="6"/>
      <c r="D22" s="3"/>
      <c r="E22" s="6"/>
      <c r="F22" s="38"/>
      <c r="I22" s="32"/>
      <c r="J22" s="33"/>
    </row>
    <row r="23" spans="2:10" ht="30" customHeight="1">
      <c r="B23" s="5"/>
      <c r="C23" s="6"/>
      <c r="D23" s="3"/>
      <c r="E23" s="6"/>
      <c r="F23" s="38"/>
      <c r="I23" s="32"/>
      <c r="J23" s="33"/>
    </row>
    <row r="24" spans="2:10" ht="30" customHeight="1">
      <c r="B24" s="5"/>
      <c r="C24" s="6"/>
      <c r="D24" s="3"/>
      <c r="E24" s="6"/>
      <c r="F24" s="38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SUM(J14:J32)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208</v>
      </c>
      <c r="C3" s="20"/>
      <c r="D3" s="21"/>
      <c r="E3" s="22"/>
      <c r="F3" s="23"/>
    </row>
    <row r="4" spans="2:6" ht="30" customHeight="1">
      <c r="B4" s="61" t="s">
        <v>12</v>
      </c>
      <c r="C4" s="25"/>
      <c r="D4" s="25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13</v>
      </c>
      <c r="E7" s="6" t="s">
        <v>97</v>
      </c>
      <c r="F7" s="36">
        <f>0.6*0.6*3.14/4*1.25*10</f>
        <v>3.5325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258</v>
      </c>
      <c r="E8" s="6" t="s">
        <v>97</v>
      </c>
      <c r="F8" s="34">
        <f>3.5-3.3</f>
        <v>0.20000000000000018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257</v>
      </c>
      <c r="E9" s="6" t="s">
        <v>97</v>
      </c>
      <c r="F9" s="36">
        <f>(0.6*0.6*3.14/4*1.15+0.2*0.2*3.14/4*0.1)*10</f>
        <v>3.2813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6</v>
      </c>
      <c r="E10" s="6" t="s">
        <v>393</v>
      </c>
      <c r="F10" s="36">
        <f>0.6*0.6*3.14/4*10</f>
        <v>2.826</v>
      </c>
      <c r="I10" s="32"/>
      <c r="J10" s="33"/>
    </row>
    <row r="11" spans="2:10" ht="30" customHeight="1">
      <c r="B11" s="5" t="s">
        <v>291</v>
      </c>
      <c r="C11" s="6" t="s">
        <v>323</v>
      </c>
      <c r="D11" s="3" t="s">
        <v>6</v>
      </c>
      <c r="E11" s="6" t="s">
        <v>393</v>
      </c>
      <c r="F11" s="62">
        <f>0.6*0.6*3.14/4*10</f>
        <v>2.826</v>
      </c>
      <c r="I11" s="32"/>
      <c r="J11" s="33"/>
    </row>
    <row r="12" spans="2:10" ht="30" customHeight="1">
      <c r="B12" s="5" t="s">
        <v>305</v>
      </c>
      <c r="C12" s="6" t="s">
        <v>329</v>
      </c>
      <c r="D12" s="37" t="s">
        <v>14</v>
      </c>
      <c r="E12" s="6" t="s">
        <v>397</v>
      </c>
      <c r="F12" s="62">
        <f>1*10</f>
        <v>10</v>
      </c>
      <c r="I12" s="32"/>
      <c r="J12" s="33"/>
    </row>
    <row r="13" spans="2:10" ht="30" customHeight="1">
      <c r="B13" s="5" t="s">
        <v>294</v>
      </c>
      <c r="C13" s="6" t="s">
        <v>295</v>
      </c>
      <c r="D13" s="37" t="s">
        <v>15</v>
      </c>
      <c r="E13" s="6" t="s">
        <v>97</v>
      </c>
      <c r="F13" s="53">
        <f>(0.6*0.6*3.14/4*1-0.0605*0.0605*3.14/4*0.45)*10</f>
        <v>2.813070166875</v>
      </c>
      <c r="I13" s="32"/>
      <c r="J13" s="33"/>
    </row>
    <row r="14" spans="1:6" ht="39.75" customHeight="1">
      <c r="A14" s="18"/>
      <c r="B14" s="63" t="s">
        <v>10</v>
      </c>
      <c r="C14" s="64"/>
      <c r="D14" s="65"/>
      <c r="E14" s="66"/>
      <c r="F14" s="67"/>
    </row>
    <row r="15" spans="2:6" ht="30" customHeight="1">
      <c r="B15" s="61" t="s">
        <v>12</v>
      </c>
      <c r="C15" s="25"/>
      <c r="D15" s="25"/>
      <c r="E15" s="7">
        <v>10</v>
      </c>
      <c r="F15" s="8" t="s">
        <v>11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37" t="s">
        <v>16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327</v>
      </c>
      <c r="C20" s="6" t="s">
        <v>297</v>
      </c>
      <c r="D20" s="3" t="s">
        <v>85</v>
      </c>
      <c r="E20" s="6" t="s">
        <v>97</v>
      </c>
      <c r="F20" s="68">
        <f>(0.2*0.2-0.0605*0.0605)*3.14/4*0.1*5</f>
        <v>0.014263351875000007</v>
      </c>
      <c r="I20" s="32"/>
      <c r="J20" s="33"/>
    </row>
    <row r="21" spans="2:10" ht="30" customHeight="1">
      <c r="B21" s="5"/>
      <c r="C21" s="6"/>
      <c r="D21" s="3"/>
      <c r="E21" s="6"/>
      <c r="F21" s="38"/>
      <c r="I21" s="32"/>
      <c r="J21" s="33"/>
    </row>
    <row r="22" spans="2:10" ht="30" customHeight="1">
      <c r="B22" s="5"/>
      <c r="C22" s="6"/>
      <c r="D22" s="3"/>
      <c r="E22" s="6"/>
      <c r="F22" s="38"/>
      <c r="I22" s="32"/>
      <c r="J22" s="33"/>
    </row>
    <row r="23" spans="2:10" ht="30" customHeight="1">
      <c r="B23" s="5"/>
      <c r="C23" s="6"/>
      <c r="D23" s="3"/>
      <c r="E23" s="6"/>
      <c r="F23" s="38"/>
      <c r="I23" s="32"/>
      <c r="J23" s="33"/>
    </row>
    <row r="24" spans="2:10" ht="30" customHeight="1">
      <c r="B24" s="5"/>
      <c r="C24" s="6"/>
      <c r="D24" s="3"/>
      <c r="E24" s="6"/>
      <c r="F24" s="38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SUM(J14:J32)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253</v>
      </c>
      <c r="C3" s="20"/>
      <c r="D3" s="21"/>
      <c r="E3" s="22"/>
      <c r="F3" s="23"/>
    </row>
    <row r="4" spans="2:6" ht="30" customHeight="1">
      <c r="B4" s="61" t="s">
        <v>254</v>
      </c>
      <c r="C4" s="25"/>
      <c r="D4" s="25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255</v>
      </c>
      <c r="E7" s="6" t="s">
        <v>97</v>
      </c>
      <c r="F7" s="36">
        <f>0.6*0.6*3.14/4*1.35*10</f>
        <v>3.8151000000000006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33</v>
      </c>
      <c r="E8" s="6" t="s">
        <v>97</v>
      </c>
      <c r="F8" s="34">
        <f>3.8-3.6</f>
        <v>0.19999999999999973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256</v>
      </c>
      <c r="E9" s="6" t="s">
        <v>97</v>
      </c>
      <c r="F9" s="36">
        <f>(0.6*0.6*3.14/4*1.25+0.2*0.2*3.14/4*0.1)*10</f>
        <v>3.5639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6</v>
      </c>
      <c r="E10" s="6" t="s">
        <v>393</v>
      </c>
      <c r="F10" s="36">
        <f>0.6*0.6*3.14/4*10</f>
        <v>2.826</v>
      </c>
      <c r="I10" s="32"/>
      <c r="J10" s="33"/>
    </row>
    <row r="11" spans="2:10" ht="30" customHeight="1">
      <c r="B11" s="5" t="s">
        <v>291</v>
      </c>
      <c r="C11" s="6" t="s">
        <v>323</v>
      </c>
      <c r="D11" s="3" t="s">
        <v>6</v>
      </c>
      <c r="E11" s="6" t="s">
        <v>393</v>
      </c>
      <c r="F11" s="62">
        <f>0.6*0.6*3.14/4*10</f>
        <v>2.826</v>
      </c>
      <c r="I11" s="32"/>
      <c r="J11" s="33"/>
    </row>
    <row r="12" spans="2:10" ht="30" customHeight="1">
      <c r="B12" s="5" t="s">
        <v>305</v>
      </c>
      <c r="C12" s="6" t="s">
        <v>329</v>
      </c>
      <c r="D12" s="37" t="s">
        <v>34</v>
      </c>
      <c r="E12" s="6" t="s">
        <v>397</v>
      </c>
      <c r="F12" s="62">
        <f>1.1*10</f>
        <v>11</v>
      </c>
      <c r="I12" s="32"/>
      <c r="J12" s="33"/>
    </row>
    <row r="13" spans="2:10" ht="30" customHeight="1">
      <c r="B13" s="5" t="s">
        <v>294</v>
      </c>
      <c r="C13" s="6" t="s">
        <v>295</v>
      </c>
      <c r="D13" s="37" t="s">
        <v>259</v>
      </c>
      <c r="E13" s="6" t="s">
        <v>97</v>
      </c>
      <c r="F13" s="53">
        <f>(0.6*0.6*3.14/4*1.1-0.0605*0.0605*3.14/4*0.5)*10</f>
        <v>3.0942335187500003</v>
      </c>
      <c r="I13" s="32"/>
      <c r="J13" s="33"/>
    </row>
    <row r="14" spans="1:6" ht="39.75" customHeight="1">
      <c r="A14" s="18"/>
      <c r="B14" s="63" t="s">
        <v>10</v>
      </c>
      <c r="C14" s="64"/>
      <c r="D14" s="65"/>
      <c r="E14" s="66"/>
      <c r="F14" s="67"/>
    </row>
    <row r="15" spans="2:6" ht="30" customHeight="1">
      <c r="B15" s="61" t="s">
        <v>254</v>
      </c>
      <c r="C15" s="25"/>
      <c r="D15" s="25"/>
      <c r="E15" s="7">
        <v>10</v>
      </c>
      <c r="F15" s="8" t="s">
        <v>11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37" t="s">
        <v>16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327</v>
      </c>
      <c r="C20" s="6" t="s">
        <v>297</v>
      </c>
      <c r="D20" s="3" t="s">
        <v>85</v>
      </c>
      <c r="E20" s="6" t="s">
        <v>97</v>
      </c>
      <c r="F20" s="68">
        <f>(0.2*0.2-0.0605*0.0605)*3.14/4*0.1*5</f>
        <v>0.014263351875000007</v>
      </c>
      <c r="I20" s="32"/>
      <c r="J20" s="33"/>
    </row>
    <row r="21" spans="2:10" ht="30" customHeight="1">
      <c r="B21" s="5"/>
      <c r="C21" s="6"/>
      <c r="D21" s="3"/>
      <c r="E21" s="6"/>
      <c r="F21" s="38"/>
      <c r="I21" s="32"/>
      <c r="J21" s="33"/>
    </row>
    <row r="22" spans="2:10" ht="30" customHeight="1">
      <c r="B22" s="5"/>
      <c r="C22" s="6"/>
      <c r="D22" s="3"/>
      <c r="E22" s="6"/>
      <c r="F22" s="38"/>
      <c r="I22" s="32"/>
      <c r="J22" s="33"/>
    </row>
    <row r="23" spans="2:10" ht="30" customHeight="1">
      <c r="B23" s="5"/>
      <c r="C23" s="6"/>
      <c r="D23" s="3"/>
      <c r="E23" s="6"/>
      <c r="F23" s="38"/>
      <c r="I23" s="32"/>
      <c r="J23" s="33"/>
    </row>
    <row r="24" spans="2:10" ht="30" customHeight="1">
      <c r="B24" s="5"/>
      <c r="C24" s="6"/>
      <c r="D24" s="3"/>
      <c r="E24" s="6"/>
      <c r="F24" s="38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SUM(J14:J32)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29</v>
      </c>
      <c r="C3" s="20"/>
      <c r="D3" s="21"/>
      <c r="E3" s="22"/>
      <c r="F3" s="23"/>
    </row>
    <row r="4" spans="2:6" ht="30" customHeight="1">
      <c r="B4" s="61" t="s">
        <v>20</v>
      </c>
      <c r="C4" s="25"/>
      <c r="D4" s="25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13</v>
      </c>
      <c r="E7" s="6" t="s">
        <v>97</v>
      </c>
      <c r="F7" s="36">
        <f>0.6*0.6*3.14/4*1.25*10</f>
        <v>3.5325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22</v>
      </c>
      <c r="E8" s="6" t="s">
        <v>97</v>
      </c>
      <c r="F8" s="34">
        <f>3.5-3.3</f>
        <v>0.20000000000000018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21</v>
      </c>
      <c r="E9" s="6" t="s">
        <v>97</v>
      </c>
      <c r="F9" s="36">
        <f>(0.6*0.6*3.14/4*1.15+0.2*0.2*3.14/4*0.1)*10</f>
        <v>3.2813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6</v>
      </c>
      <c r="E10" s="6" t="s">
        <v>393</v>
      </c>
      <c r="F10" s="36">
        <f>0.6*0.6*3.14/4*10</f>
        <v>2.826</v>
      </c>
      <c r="I10" s="32"/>
      <c r="J10" s="33"/>
    </row>
    <row r="11" spans="2:10" ht="30" customHeight="1">
      <c r="B11" s="5" t="s">
        <v>291</v>
      </c>
      <c r="C11" s="6" t="s">
        <v>323</v>
      </c>
      <c r="D11" s="3" t="s">
        <v>6</v>
      </c>
      <c r="E11" s="6" t="s">
        <v>393</v>
      </c>
      <c r="F11" s="62">
        <f>0.6*0.6*3.14/4*10</f>
        <v>2.826</v>
      </c>
      <c r="I11" s="32"/>
      <c r="J11" s="33"/>
    </row>
    <row r="12" spans="2:10" ht="30" customHeight="1">
      <c r="B12" s="5" t="s">
        <v>305</v>
      </c>
      <c r="C12" s="6" t="s">
        <v>329</v>
      </c>
      <c r="D12" s="37" t="s">
        <v>17</v>
      </c>
      <c r="E12" s="6" t="s">
        <v>397</v>
      </c>
      <c r="F12" s="62">
        <f>1*10</f>
        <v>10</v>
      </c>
      <c r="I12" s="32"/>
      <c r="J12" s="33"/>
    </row>
    <row r="13" spans="2:10" ht="30" customHeight="1">
      <c r="B13" s="5" t="s">
        <v>294</v>
      </c>
      <c r="C13" s="6" t="s">
        <v>295</v>
      </c>
      <c r="D13" s="37" t="s">
        <v>23</v>
      </c>
      <c r="E13" s="6" t="s">
        <v>97</v>
      </c>
      <c r="F13" s="53">
        <f>(0.6*0.6*3.14/4*1-0.0891*0.0891*3.14/4*0.45)*10</f>
        <v>2.7979561536750004</v>
      </c>
      <c r="I13" s="32"/>
      <c r="J13" s="33"/>
    </row>
    <row r="14" spans="1:6" ht="39.75" customHeight="1">
      <c r="A14" s="18"/>
      <c r="B14" s="63" t="s">
        <v>18</v>
      </c>
      <c r="C14" s="64"/>
      <c r="D14" s="65"/>
      <c r="E14" s="66"/>
      <c r="F14" s="67"/>
    </row>
    <row r="15" spans="2:6" ht="30" customHeight="1">
      <c r="B15" s="61" t="s">
        <v>20</v>
      </c>
      <c r="C15" s="25"/>
      <c r="D15" s="25"/>
      <c r="E15" s="7">
        <v>10</v>
      </c>
      <c r="F15" s="8" t="s">
        <v>19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37" t="s">
        <v>24</v>
      </c>
      <c r="E19" s="6" t="s">
        <v>395</v>
      </c>
      <c r="F19" s="9">
        <f>10/2.04</f>
        <v>4.901960784313726</v>
      </c>
      <c r="I19" s="32"/>
      <c r="J19" s="33"/>
    </row>
    <row r="20" spans="2:10" ht="30" customHeight="1">
      <c r="B20" s="5" t="s">
        <v>327</v>
      </c>
      <c r="C20" s="6" t="s">
        <v>297</v>
      </c>
      <c r="D20" s="4" t="s">
        <v>25</v>
      </c>
      <c r="E20" s="6" t="s">
        <v>97</v>
      </c>
      <c r="F20" s="68">
        <f>(0.2*0.2-0.0891*0.0891)*3.14/4*0.1*10/2.04</f>
        <v>0.012337271642156868</v>
      </c>
      <c r="I20" s="32"/>
      <c r="J20" s="33"/>
    </row>
    <row r="21" spans="2:10" ht="30" customHeight="1">
      <c r="B21" s="5"/>
      <c r="C21" s="6"/>
      <c r="D21" s="3"/>
      <c r="E21" s="6"/>
      <c r="F21" s="38"/>
      <c r="I21" s="32"/>
      <c r="J21" s="33"/>
    </row>
    <row r="22" spans="2:10" ht="30" customHeight="1">
      <c r="B22" s="5"/>
      <c r="C22" s="6"/>
      <c r="D22" s="3"/>
      <c r="E22" s="6"/>
      <c r="F22" s="38"/>
      <c r="I22" s="32"/>
      <c r="J22" s="33"/>
    </row>
    <row r="23" spans="2:10" ht="30" customHeight="1">
      <c r="B23" s="5"/>
      <c r="C23" s="6"/>
      <c r="D23" s="3"/>
      <c r="E23" s="6"/>
      <c r="F23" s="38"/>
      <c r="I23" s="32"/>
      <c r="J23" s="33"/>
    </row>
    <row r="24" spans="2:10" ht="30" customHeight="1">
      <c r="B24" s="5"/>
      <c r="C24" s="6"/>
      <c r="D24" s="3"/>
      <c r="E24" s="6"/>
      <c r="F24" s="38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SUM(J14:J32)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263</v>
      </c>
      <c r="C3" s="20"/>
      <c r="D3" s="21"/>
      <c r="E3" s="22"/>
      <c r="F3" s="23"/>
    </row>
    <row r="4" spans="2:6" ht="30" customHeight="1">
      <c r="B4" s="61" t="s">
        <v>30</v>
      </c>
      <c r="C4" s="25"/>
      <c r="D4" s="25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31</v>
      </c>
      <c r="E7" s="6" t="s">
        <v>97</v>
      </c>
      <c r="F7" s="36">
        <f>0.6*0.6*3.14/4*1.35*10</f>
        <v>3.8151000000000006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33</v>
      </c>
      <c r="E8" s="6" t="s">
        <v>97</v>
      </c>
      <c r="F8" s="34">
        <f>3.8-3.6</f>
        <v>0.19999999999999973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32</v>
      </c>
      <c r="E9" s="6" t="s">
        <v>97</v>
      </c>
      <c r="F9" s="36">
        <f>(0.6*0.6*3.14/4*1.25+0.2*0.2*3.14/4*0.1)*10</f>
        <v>3.5639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87</v>
      </c>
      <c r="E10" s="6" t="s">
        <v>393</v>
      </c>
      <c r="F10" s="36">
        <f>0.6*0.6*3.14/4*10</f>
        <v>2.826</v>
      </c>
      <c r="I10" s="32"/>
      <c r="J10" s="33"/>
    </row>
    <row r="11" spans="2:10" ht="30" customHeight="1">
      <c r="B11" s="5" t="s">
        <v>291</v>
      </c>
      <c r="C11" s="6" t="s">
        <v>323</v>
      </c>
      <c r="D11" s="3" t="s">
        <v>87</v>
      </c>
      <c r="E11" s="6" t="s">
        <v>393</v>
      </c>
      <c r="F11" s="62">
        <f>0.6*0.6*3.14/4*10</f>
        <v>2.826</v>
      </c>
      <c r="I11" s="32"/>
      <c r="J11" s="33"/>
    </row>
    <row r="12" spans="2:10" ht="30" customHeight="1">
      <c r="B12" s="5" t="s">
        <v>305</v>
      </c>
      <c r="C12" s="6" t="s">
        <v>329</v>
      </c>
      <c r="D12" s="37" t="s">
        <v>34</v>
      </c>
      <c r="E12" s="6" t="s">
        <v>397</v>
      </c>
      <c r="F12" s="62">
        <f>1.1*10</f>
        <v>11</v>
      </c>
      <c r="I12" s="32"/>
      <c r="J12" s="33"/>
    </row>
    <row r="13" spans="2:10" ht="30" customHeight="1">
      <c r="B13" s="5" t="s">
        <v>294</v>
      </c>
      <c r="C13" s="6" t="s">
        <v>295</v>
      </c>
      <c r="D13" s="37" t="s">
        <v>35</v>
      </c>
      <c r="E13" s="6" t="s">
        <v>97</v>
      </c>
      <c r="F13" s="53">
        <f>(0.6*0.6*3.14/4*1.1-0.0891*0.0891*3.14/4*0.5)*10</f>
        <v>3.0774401707500005</v>
      </c>
      <c r="I13" s="32"/>
      <c r="J13" s="33"/>
    </row>
    <row r="14" spans="1:6" ht="39.75" customHeight="1">
      <c r="A14" s="18"/>
      <c r="B14" s="63" t="s">
        <v>26</v>
      </c>
      <c r="C14" s="64"/>
      <c r="D14" s="65"/>
      <c r="E14" s="66"/>
      <c r="F14" s="67"/>
    </row>
    <row r="15" spans="2:6" ht="30" customHeight="1">
      <c r="B15" s="61" t="s">
        <v>30</v>
      </c>
      <c r="C15" s="25"/>
      <c r="D15" s="25"/>
      <c r="E15" s="7">
        <v>10</v>
      </c>
      <c r="F15" s="8" t="s">
        <v>27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37" t="s">
        <v>28</v>
      </c>
      <c r="E19" s="6" t="s">
        <v>395</v>
      </c>
      <c r="F19" s="9">
        <f>10/2.04</f>
        <v>4.901960784313726</v>
      </c>
      <c r="I19" s="32"/>
      <c r="J19" s="33"/>
    </row>
    <row r="20" spans="2:10" ht="30" customHeight="1">
      <c r="B20" s="5" t="s">
        <v>327</v>
      </c>
      <c r="C20" s="6" t="s">
        <v>297</v>
      </c>
      <c r="D20" s="3" t="s">
        <v>25</v>
      </c>
      <c r="E20" s="6" t="s">
        <v>97</v>
      </c>
      <c r="F20" s="68">
        <f>(0.2*0.2-0.0891*0.0891)*3.14/4*0.1*10/2.04</f>
        <v>0.012337271642156868</v>
      </c>
      <c r="I20" s="32"/>
      <c r="J20" s="33"/>
    </row>
    <row r="21" spans="2:10" ht="30" customHeight="1">
      <c r="B21" s="5"/>
      <c r="C21" s="6"/>
      <c r="D21" s="3"/>
      <c r="E21" s="6"/>
      <c r="F21" s="38"/>
      <c r="I21" s="32"/>
      <c r="J21" s="33"/>
    </row>
    <row r="22" spans="2:10" ht="30" customHeight="1">
      <c r="B22" s="5"/>
      <c r="C22" s="6"/>
      <c r="D22" s="3"/>
      <c r="E22" s="6"/>
      <c r="F22" s="38"/>
      <c r="I22" s="32"/>
      <c r="J22" s="33"/>
    </row>
    <row r="23" spans="2:10" ht="30" customHeight="1">
      <c r="B23" s="5"/>
      <c r="C23" s="6"/>
      <c r="D23" s="3"/>
      <c r="E23" s="6"/>
      <c r="F23" s="38"/>
      <c r="I23" s="32"/>
      <c r="J23" s="33"/>
    </row>
    <row r="24" spans="2:10" ht="30" customHeight="1">
      <c r="B24" s="5"/>
      <c r="C24" s="6"/>
      <c r="D24" s="3"/>
      <c r="E24" s="6"/>
      <c r="F24" s="38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SUM(J14:J32)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200</v>
      </c>
      <c r="C3" s="20"/>
      <c r="D3" s="21"/>
      <c r="E3" s="22"/>
      <c r="F3" s="23"/>
    </row>
    <row r="4" spans="2:6" ht="30" customHeight="1">
      <c r="B4" s="71" t="s">
        <v>40</v>
      </c>
      <c r="C4" s="25"/>
      <c r="D4" s="25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41</v>
      </c>
      <c r="E7" s="6" t="s">
        <v>97</v>
      </c>
      <c r="F7" s="36">
        <f>0.8*0.8*3.14/4*1.25*10</f>
        <v>6.280000000000001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43</v>
      </c>
      <c r="E8" s="6" t="s">
        <v>97</v>
      </c>
      <c r="F8" s="34">
        <f>6.3-5.8</f>
        <v>0.5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42</v>
      </c>
      <c r="E9" s="6" t="s">
        <v>97</v>
      </c>
      <c r="F9" s="36">
        <f>(0.8*0.8*3.14/4*1.15+0.2*0.2*3.14/4*0.1)*10</f>
        <v>5.809000000000001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44</v>
      </c>
      <c r="E10" s="6" t="s">
        <v>393</v>
      </c>
      <c r="F10" s="36">
        <f>0.8*0.8*3.14/4*10</f>
        <v>5.024000000000001</v>
      </c>
      <c r="I10" s="32"/>
      <c r="J10" s="33"/>
    </row>
    <row r="11" spans="2:10" ht="30" customHeight="1">
      <c r="B11" s="5" t="s">
        <v>291</v>
      </c>
      <c r="C11" s="6" t="s">
        <v>323</v>
      </c>
      <c r="D11" s="3" t="s">
        <v>44</v>
      </c>
      <c r="E11" s="6" t="s">
        <v>393</v>
      </c>
      <c r="F11" s="62">
        <f>0.8*0.8*3.14/4*10</f>
        <v>5.024000000000001</v>
      </c>
      <c r="I11" s="32"/>
      <c r="J11" s="33"/>
    </row>
    <row r="12" spans="2:10" ht="30" customHeight="1">
      <c r="B12" s="5" t="s">
        <v>305</v>
      </c>
      <c r="C12" s="6" t="s">
        <v>324</v>
      </c>
      <c r="D12" s="37" t="s">
        <v>36</v>
      </c>
      <c r="E12" s="6" t="s">
        <v>397</v>
      </c>
      <c r="F12" s="62">
        <f>1*10</f>
        <v>10</v>
      </c>
      <c r="I12" s="32"/>
      <c r="J12" s="33"/>
    </row>
    <row r="13" spans="2:10" ht="30" customHeight="1">
      <c r="B13" s="5" t="s">
        <v>294</v>
      </c>
      <c r="C13" s="6" t="s">
        <v>295</v>
      </c>
      <c r="D13" s="37" t="s">
        <v>45</v>
      </c>
      <c r="E13" s="6" t="s">
        <v>97</v>
      </c>
      <c r="F13" s="53">
        <f>(0.8*0.8*3.14/4*1-0.0891*0.0891*3.14/4*0.5)*10</f>
        <v>4.992840170750001</v>
      </c>
      <c r="I13" s="32"/>
      <c r="J13" s="33"/>
    </row>
    <row r="14" spans="1:6" ht="39.75" customHeight="1">
      <c r="A14" s="18"/>
      <c r="B14" s="63" t="s">
        <v>37</v>
      </c>
      <c r="C14" s="64"/>
      <c r="D14" s="65"/>
      <c r="E14" s="66"/>
      <c r="F14" s="67"/>
    </row>
    <row r="15" spans="2:6" ht="30" customHeight="1">
      <c r="B15" s="71" t="s">
        <v>39</v>
      </c>
      <c r="C15" s="25"/>
      <c r="D15" s="25"/>
      <c r="E15" s="7">
        <v>10</v>
      </c>
      <c r="F15" s="8" t="s">
        <v>38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70">
        <v>0</v>
      </c>
      <c r="D19" s="37"/>
      <c r="E19" s="6">
        <v>0</v>
      </c>
      <c r="F19" s="9"/>
      <c r="I19" s="32"/>
      <c r="J19" s="33"/>
    </row>
    <row r="20" spans="2:10" ht="30" customHeight="1">
      <c r="B20" s="69" t="s">
        <v>46</v>
      </c>
      <c r="C20" s="70">
        <v>0</v>
      </c>
      <c r="D20" s="3" t="s">
        <v>16</v>
      </c>
      <c r="E20" s="6" t="s">
        <v>395</v>
      </c>
      <c r="F20" s="9">
        <f>10/2</f>
        <v>5</v>
      </c>
      <c r="I20" s="32"/>
      <c r="J20" s="33"/>
    </row>
    <row r="21" spans="2:10" ht="30" customHeight="1">
      <c r="B21" s="69" t="s">
        <v>328</v>
      </c>
      <c r="C21" s="6"/>
      <c r="D21" s="3" t="s">
        <v>47</v>
      </c>
      <c r="E21" s="6" t="s">
        <v>395</v>
      </c>
      <c r="F21" s="9">
        <f>10/2.04</f>
        <v>4.901960784313726</v>
      </c>
      <c r="I21" s="32"/>
      <c r="J21" s="33"/>
    </row>
    <row r="22" spans="2:10" ht="30" customHeight="1">
      <c r="B22" s="5" t="s">
        <v>327</v>
      </c>
      <c r="C22" s="6" t="s">
        <v>297</v>
      </c>
      <c r="D22" s="3"/>
      <c r="E22" s="6"/>
      <c r="F22" s="38"/>
      <c r="I22" s="32"/>
      <c r="J22" s="33"/>
    </row>
    <row r="23" spans="2:10" ht="30" customHeight="1">
      <c r="B23" s="69" t="s">
        <v>46</v>
      </c>
      <c r="C23" s="6">
        <v>0</v>
      </c>
      <c r="D23" s="4" t="s">
        <v>48</v>
      </c>
      <c r="E23" s="6" t="s">
        <v>97</v>
      </c>
      <c r="F23" s="68">
        <f>(0.2*0.2-0.0891*0.0891)*3.14/4*0.1*10/2</f>
        <v>0.012584017075000006</v>
      </c>
      <c r="I23" s="32"/>
      <c r="J23" s="33"/>
    </row>
    <row r="24" spans="2:10" ht="30" customHeight="1">
      <c r="B24" s="69" t="s">
        <v>328</v>
      </c>
      <c r="C24" s="6">
        <v>0</v>
      </c>
      <c r="D24" s="4" t="s">
        <v>86</v>
      </c>
      <c r="E24" s="6" t="s">
        <v>97</v>
      </c>
      <c r="F24" s="38">
        <f>(0.2*0.2-0.0891*0.0891)*3.14/4*0.1*10/2.04</f>
        <v>0.012337271642156868</v>
      </c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SUM(J14:J32)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4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260</v>
      </c>
      <c r="C3" s="20"/>
      <c r="D3" s="21"/>
      <c r="E3" s="22"/>
      <c r="F3" s="23"/>
    </row>
    <row r="4" spans="2:6" ht="30" customHeight="1">
      <c r="B4" s="71" t="s">
        <v>261</v>
      </c>
      <c r="C4" s="25"/>
      <c r="D4" s="25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41</v>
      </c>
      <c r="E7" s="6" t="s">
        <v>97</v>
      </c>
      <c r="F7" s="36">
        <f>0.8*0.8*3.14/4*1.25*10</f>
        <v>6.280000000000001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43</v>
      </c>
      <c r="E8" s="6" t="s">
        <v>97</v>
      </c>
      <c r="F8" s="34">
        <f>6.3-5.8</f>
        <v>0.5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42</v>
      </c>
      <c r="E9" s="6" t="s">
        <v>97</v>
      </c>
      <c r="F9" s="36">
        <f>(0.8*0.8*3.14/4*1.15+0.2*0.2*3.14/4*0.1)*10</f>
        <v>5.809000000000001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44</v>
      </c>
      <c r="E10" s="6" t="s">
        <v>393</v>
      </c>
      <c r="F10" s="36">
        <f>0.8*0.8*3.14/4*10</f>
        <v>5.024000000000001</v>
      </c>
      <c r="I10" s="32"/>
      <c r="J10" s="33"/>
    </row>
    <row r="11" spans="2:10" ht="30" customHeight="1">
      <c r="B11" s="5" t="s">
        <v>291</v>
      </c>
      <c r="C11" s="6" t="s">
        <v>323</v>
      </c>
      <c r="D11" s="3" t="s">
        <v>44</v>
      </c>
      <c r="E11" s="6" t="s">
        <v>393</v>
      </c>
      <c r="F11" s="62">
        <f>0.8*0.8*3.14/4*10</f>
        <v>5.024000000000001</v>
      </c>
      <c r="I11" s="32"/>
      <c r="J11" s="33"/>
    </row>
    <row r="12" spans="2:10" ht="30" customHeight="1">
      <c r="B12" s="5" t="s">
        <v>305</v>
      </c>
      <c r="C12" s="6" t="s">
        <v>324</v>
      </c>
      <c r="D12" s="37" t="s">
        <v>14</v>
      </c>
      <c r="E12" s="6" t="s">
        <v>397</v>
      </c>
      <c r="F12" s="62">
        <f>1*10</f>
        <v>10</v>
      </c>
      <c r="I12" s="32"/>
      <c r="J12" s="33"/>
    </row>
    <row r="13" spans="2:10" ht="30" customHeight="1">
      <c r="B13" s="5" t="s">
        <v>294</v>
      </c>
      <c r="C13" s="6" t="s">
        <v>295</v>
      </c>
      <c r="D13" s="37" t="s">
        <v>262</v>
      </c>
      <c r="E13" s="6" t="s">
        <v>97</v>
      </c>
      <c r="F13" s="53">
        <f>(0.8*0.8*3.14/4*1-0.0891*0.0891*3.14/4*0.55)*10</f>
        <v>4.989724187825001</v>
      </c>
      <c r="I13" s="32"/>
      <c r="J13" s="33"/>
    </row>
    <row r="14" spans="1:6" ht="39.75" customHeight="1">
      <c r="A14" s="18"/>
      <c r="B14" s="63" t="s">
        <v>10</v>
      </c>
      <c r="C14" s="64"/>
      <c r="D14" s="65"/>
      <c r="E14" s="66"/>
      <c r="F14" s="67"/>
    </row>
    <row r="15" spans="2:6" ht="30" customHeight="1">
      <c r="B15" s="71" t="s">
        <v>261</v>
      </c>
      <c r="C15" s="25"/>
      <c r="D15" s="25"/>
      <c r="E15" s="7">
        <v>10</v>
      </c>
      <c r="F15" s="8" t="s">
        <v>11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70">
        <v>0</v>
      </c>
      <c r="D19" s="3" t="s">
        <v>16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327</v>
      </c>
      <c r="C20" s="6" t="s">
        <v>297</v>
      </c>
      <c r="D20" s="4" t="s">
        <v>48</v>
      </c>
      <c r="E20" s="6" t="s">
        <v>97</v>
      </c>
      <c r="F20" s="38">
        <f>(0.2*0.2-0.0891*0.0891)*3.14/4*0.1*10/2</f>
        <v>0.012584017075000006</v>
      </c>
      <c r="I20" s="32"/>
      <c r="J20" s="33"/>
    </row>
    <row r="21" spans="2:10" ht="30" customHeight="1">
      <c r="B21" s="69"/>
      <c r="C21" s="70"/>
      <c r="D21" s="3"/>
      <c r="E21" s="6"/>
      <c r="F21" s="9"/>
      <c r="I21" s="32"/>
      <c r="J21" s="33"/>
    </row>
    <row r="22" spans="2:10" ht="30" customHeight="1">
      <c r="B22" s="69"/>
      <c r="C22" s="6"/>
      <c r="D22" s="3"/>
      <c r="E22" s="6"/>
      <c r="F22" s="9"/>
      <c r="I22" s="32"/>
      <c r="J22" s="33"/>
    </row>
    <row r="23" spans="2:10" ht="30" customHeight="1">
      <c r="B23" s="69"/>
      <c r="C23" s="6"/>
      <c r="D23" s="4"/>
      <c r="E23" s="6"/>
      <c r="F23" s="68"/>
      <c r="I23" s="32"/>
      <c r="J23" s="33"/>
    </row>
    <row r="24" spans="2:10" ht="30" customHeight="1">
      <c r="B24" s="69"/>
      <c r="C24" s="6"/>
      <c r="D24" s="4"/>
      <c r="E24" s="6"/>
      <c r="F24" s="38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SUM(J14:J32)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264</v>
      </c>
      <c r="C3" s="20"/>
      <c r="D3" s="21"/>
      <c r="E3" s="22"/>
      <c r="F3" s="23"/>
    </row>
    <row r="4" spans="2:6" ht="30" customHeight="1">
      <c r="B4" s="71" t="s">
        <v>266</v>
      </c>
      <c r="C4" s="25"/>
      <c r="D4" s="25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41</v>
      </c>
      <c r="E7" s="6" t="s">
        <v>97</v>
      </c>
      <c r="F7" s="36">
        <f>0.8*0.8*3.14/4*1.25*10</f>
        <v>6.280000000000001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43</v>
      </c>
      <c r="E8" s="6" t="s">
        <v>97</v>
      </c>
      <c r="F8" s="34">
        <f>6.3-5.8</f>
        <v>0.5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42</v>
      </c>
      <c r="E9" s="6" t="s">
        <v>97</v>
      </c>
      <c r="F9" s="36">
        <f>(0.8*0.8*3.14/4*1.15+0.2*0.2*3.14/4*0.1)*10</f>
        <v>5.809000000000001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44</v>
      </c>
      <c r="E10" s="6" t="s">
        <v>393</v>
      </c>
      <c r="F10" s="36">
        <f>0.8*0.8*3.14/4*10</f>
        <v>5.024000000000001</v>
      </c>
      <c r="I10" s="32"/>
      <c r="J10" s="33"/>
    </row>
    <row r="11" spans="2:10" ht="30" customHeight="1">
      <c r="B11" s="5" t="s">
        <v>291</v>
      </c>
      <c r="C11" s="6" t="s">
        <v>323</v>
      </c>
      <c r="D11" s="3" t="s">
        <v>44</v>
      </c>
      <c r="E11" s="6" t="s">
        <v>393</v>
      </c>
      <c r="F11" s="62">
        <f>0.8*0.8*3.14/4*10</f>
        <v>5.024000000000001</v>
      </c>
      <c r="I11" s="32"/>
      <c r="J11" s="33"/>
    </row>
    <row r="12" spans="2:10" ht="30" customHeight="1">
      <c r="B12" s="5" t="s">
        <v>305</v>
      </c>
      <c r="C12" s="6" t="s">
        <v>324</v>
      </c>
      <c r="D12" s="37" t="s">
        <v>14</v>
      </c>
      <c r="E12" s="6" t="s">
        <v>397</v>
      </c>
      <c r="F12" s="62">
        <f>1*10</f>
        <v>10</v>
      </c>
      <c r="I12" s="32"/>
      <c r="J12" s="33"/>
    </row>
    <row r="13" spans="2:10" ht="30" customHeight="1">
      <c r="B13" s="5" t="s">
        <v>294</v>
      </c>
      <c r="C13" s="6" t="s">
        <v>295</v>
      </c>
      <c r="D13" s="37" t="s">
        <v>265</v>
      </c>
      <c r="E13" s="6" t="s">
        <v>97</v>
      </c>
      <c r="F13" s="53">
        <f>(0.8*0.8*3.14/4*1-0.0891*0.0891*3.14/4*0.6)*10</f>
        <v>4.9866082049000005</v>
      </c>
      <c r="I13" s="32"/>
      <c r="J13" s="33"/>
    </row>
    <row r="14" spans="1:6" ht="39.75" customHeight="1">
      <c r="A14" s="18"/>
      <c r="B14" s="63" t="s">
        <v>10</v>
      </c>
      <c r="C14" s="64"/>
      <c r="D14" s="65"/>
      <c r="E14" s="66"/>
      <c r="F14" s="67"/>
    </row>
    <row r="15" spans="2:6" ht="30" customHeight="1">
      <c r="B15" s="71" t="s">
        <v>266</v>
      </c>
      <c r="C15" s="25"/>
      <c r="D15" s="25"/>
      <c r="E15" s="7">
        <v>10</v>
      </c>
      <c r="F15" s="8" t="s">
        <v>11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70">
        <v>0</v>
      </c>
      <c r="D19" s="3" t="s">
        <v>16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327</v>
      </c>
      <c r="C20" s="6" t="s">
        <v>297</v>
      </c>
      <c r="D20" s="4" t="s">
        <v>48</v>
      </c>
      <c r="E20" s="6" t="s">
        <v>97</v>
      </c>
      <c r="F20" s="38">
        <f>(0.2*0.2-0.0891*0.0891)*3.14/4*0.1*10/2</f>
        <v>0.012584017075000006</v>
      </c>
      <c r="I20" s="32"/>
      <c r="J20" s="33"/>
    </row>
    <row r="21" spans="2:10" ht="30" customHeight="1">
      <c r="B21" s="69"/>
      <c r="C21" s="70"/>
      <c r="D21" s="3"/>
      <c r="E21" s="6"/>
      <c r="F21" s="9"/>
      <c r="I21" s="32"/>
      <c r="J21" s="33"/>
    </row>
    <row r="22" spans="2:10" ht="30" customHeight="1">
      <c r="B22" s="69"/>
      <c r="C22" s="6"/>
      <c r="D22" s="3"/>
      <c r="E22" s="6"/>
      <c r="F22" s="9"/>
      <c r="I22" s="32"/>
      <c r="J22" s="33"/>
    </row>
    <row r="23" spans="2:10" ht="30" customHeight="1">
      <c r="B23" s="69"/>
      <c r="C23" s="6"/>
      <c r="D23" s="4"/>
      <c r="E23" s="6"/>
      <c r="F23" s="68"/>
      <c r="I23" s="32"/>
      <c r="J23" s="33"/>
    </row>
    <row r="24" spans="2:10" ht="30" customHeight="1">
      <c r="B24" s="69"/>
      <c r="C24" s="6"/>
      <c r="D24" s="4"/>
      <c r="E24" s="6"/>
      <c r="F24" s="38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SUM(J14:J32)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workbookViewId="0" topLeftCell="A13">
      <selection activeCell="B26" sqref="B26"/>
    </sheetView>
  </sheetViews>
  <sheetFormatPr defaultColWidth="9.00390625" defaultRowHeight="13.5"/>
  <cols>
    <col min="1" max="1" width="2.00390625" style="0" customWidth="1"/>
    <col min="2" max="2" width="13.50390625" style="0" customWidth="1"/>
    <col min="3" max="3" width="15.125" style="0" customWidth="1"/>
    <col min="4" max="4" width="45.125" style="0" customWidth="1"/>
    <col min="5" max="5" width="4.625" style="0" customWidth="1"/>
    <col min="6" max="6" width="12.875" style="0" customWidth="1"/>
    <col min="7" max="7" width="1.4921875" style="0" customWidth="1"/>
    <col min="8" max="8" width="5.25390625" style="0" customWidth="1"/>
    <col min="9" max="9" width="9.125" style="0" bestFit="1" customWidth="1"/>
    <col min="10" max="10" width="9.875" style="0" bestFit="1" customWidth="1"/>
  </cols>
  <sheetData>
    <row r="1" ht="27" customHeight="1" thickBot="1">
      <c r="F1" s="99" t="s">
        <v>58</v>
      </c>
    </row>
    <row r="2" spans="2:6" ht="27.75" customHeight="1">
      <c r="B2" s="100" t="s">
        <v>65</v>
      </c>
      <c r="C2" s="101"/>
      <c r="D2" s="101"/>
      <c r="E2" s="101"/>
      <c r="F2" s="102"/>
    </row>
    <row r="3" spans="1:6" ht="22.5" customHeight="1">
      <c r="A3" s="103"/>
      <c r="B3" s="104" t="s">
        <v>1296</v>
      </c>
      <c r="C3" s="105"/>
      <c r="D3" s="106"/>
      <c r="E3" s="107"/>
      <c r="F3" s="108"/>
    </row>
    <row r="4" spans="2:6" ht="1.5" customHeight="1">
      <c r="B4" s="109"/>
      <c r="C4" s="110"/>
      <c r="D4" s="110"/>
      <c r="E4" s="110"/>
      <c r="F4" s="111"/>
    </row>
    <row r="5" spans="2:6" ht="25.5" customHeight="1">
      <c r="B5" s="112"/>
      <c r="C5" s="113"/>
      <c r="D5" s="113"/>
      <c r="E5" s="7">
        <v>10</v>
      </c>
      <c r="F5" s="8" t="s">
        <v>1130</v>
      </c>
    </row>
    <row r="6" spans="2:10" ht="20.25" customHeight="1">
      <c r="B6" s="114" t="s">
        <v>59</v>
      </c>
      <c r="C6" s="115" t="s">
        <v>60</v>
      </c>
      <c r="D6" s="115" t="s">
        <v>63</v>
      </c>
      <c r="E6" s="115" t="s">
        <v>61</v>
      </c>
      <c r="F6" s="116" t="s">
        <v>62</v>
      </c>
      <c r="I6" s="117"/>
      <c r="J6" s="117"/>
    </row>
    <row r="7" spans="2:6" ht="1.5" customHeight="1">
      <c r="B7" s="118"/>
      <c r="C7" s="119"/>
      <c r="D7" s="119"/>
      <c r="E7" s="119"/>
      <c r="F7" s="120"/>
    </row>
    <row r="8" spans="2:10" ht="30" customHeight="1">
      <c r="B8" s="121" t="s">
        <v>1131</v>
      </c>
      <c r="C8" s="122"/>
      <c r="D8" s="123" t="s">
        <v>1132</v>
      </c>
      <c r="E8" s="122" t="s">
        <v>1133</v>
      </c>
      <c r="F8" s="124">
        <f>(0.57+0.4)*0.55*10</f>
        <v>5.335</v>
      </c>
      <c r="I8" s="125"/>
      <c r="J8" s="126"/>
    </row>
    <row r="9" spans="2:10" ht="30" customHeight="1">
      <c r="B9" s="121" t="s">
        <v>1134</v>
      </c>
      <c r="C9" s="127"/>
      <c r="D9" s="123" t="s">
        <v>1135</v>
      </c>
      <c r="E9" s="122" t="s">
        <v>1136</v>
      </c>
      <c r="F9" s="124">
        <f>5.3-2.9</f>
        <v>2.4</v>
      </c>
      <c r="I9" s="125"/>
      <c r="J9" s="126"/>
    </row>
    <row r="10" spans="2:10" ht="30" customHeight="1">
      <c r="B10" s="121" t="s">
        <v>1137</v>
      </c>
      <c r="C10" s="128"/>
      <c r="D10" s="123" t="s">
        <v>1138</v>
      </c>
      <c r="E10" s="122" t="s">
        <v>1136</v>
      </c>
      <c r="F10" s="124">
        <f>(0.67*0.2+0.57*0.15+0.35*0.2)*10</f>
        <v>2.8949999999999996</v>
      </c>
      <c r="I10" s="125"/>
      <c r="J10" s="126"/>
    </row>
    <row r="11" spans="2:10" ht="30" customHeight="1">
      <c r="B11" s="121" t="s">
        <v>1139</v>
      </c>
      <c r="C11" s="122"/>
      <c r="D11" s="123" t="s">
        <v>1141</v>
      </c>
      <c r="E11" s="122" t="s">
        <v>1143</v>
      </c>
      <c r="F11" s="124">
        <f>0.67*10</f>
        <v>6.7</v>
      </c>
      <c r="I11" s="125"/>
      <c r="J11" s="126"/>
    </row>
    <row r="12" spans="2:10" ht="30" customHeight="1">
      <c r="B12" s="121" t="s">
        <v>1144</v>
      </c>
      <c r="C12" s="129" t="s">
        <v>1146</v>
      </c>
      <c r="D12" s="123" t="s">
        <v>1141</v>
      </c>
      <c r="E12" s="122" t="s">
        <v>1143</v>
      </c>
      <c r="F12" s="130">
        <f>0.67*10</f>
        <v>6.7</v>
      </c>
      <c r="I12" s="125"/>
      <c r="J12" s="126"/>
    </row>
    <row r="13" spans="2:10" ht="30" customHeight="1">
      <c r="B13" s="121" t="s">
        <v>1147</v>
      </c>
      <c r="C13" s="122"/>
      <c r="D13" s="123" t="s">
        <v>1148</v>
      </c>
      <c r="E13" s="122" t="s">
        <v>1142</v>
      </c>
      <c r="F13" s="130">
        <f>(0.67*0.05+0.05*10)*2</f>
        <v>1.067</v>
      </c>
      <c r="I13" s="125"/>
      <c r="J13" s="126"/>
    </row>
    <row r="14" spans="2:10" ht="30" customHeight="1">
      <c r="B14" s="121" t="s">
        <v>1149</v>
      </c>
      <c r="C14" s="131" t="s">
        <v>1151</v>
      </c>
      <c r="D14" s="123" t="s">
        <v>1153</v>
      </c>
      <c r="E14" s="122" t="s">
        <v>1155</v>
      </c>
      <c r="F14" s="130">
        <f>0.67*0.05*10</f>
        <v>0.335</v>
      </c>
      <c r="I14" s="125"/>
      <c r="J14" s="126"/>
    </row>
    <row r="15" spans="2:10" ht="30" customHeight="1">
      <c r="B15" s="121" t="s">
        <v>1156</v>
      </c>
      <c r="C15" s="122"/>
      <c r="D15" s="123" t="s">
        <v>1158</v>
      </c>
      <c r="E15" s="122" t="s">
        <v>1155</v>
      </c>
      <c r="F15" s="130">
        <f>(0.15*0.57+0.15*10)*2</f>
        <v>3.171</v>
      </c>
      <c r="I15" s="125"/>
      <c r="J15" s="126"/>
    </row>
    <row r="16" spans="2:10" ht="30" customHeight="1">
      <c r="B16" s="121" t="s">
        <v>1160</v>
      </c>
      <c r="C16" s="131" t="s">
        <v>1151</v>
      </c>
      <c r="D16" s="123" t="s">
        <v>1162</v>
      </c>
      <c r="E16" s="122" t="s">
        <v>97</v>
      </c>
      <c r="F16" s="130">
        <f>0.57*0.15*10</f>
        <v>0.855</v>
      </c>
      <c r="I16" s="125"/>
      <c r="J16" s="126"/>
    </row>
    <row r="17" spans="2:10" ht="30" customHeight="1">
      <c r="B17" s="121" t="s">
        <v>1163</v>
      </c>
      <c r="C17" s="122"/>
      <c r="D17" s="123" t="s">
        <v>1165</v>
      </c>
      <c r="E17" s="122" t="s">
        <v>97</v>
      </c>
      <c r="F17" s="130">
        <f>0.25*0.2*10</f>
        <v>0.5</v>
      </c>
      <c r="I17" s="125"/>
      <c r="J17" s="126"/>
    </row>
    <row r="18" spans="2:10" ht="30" customHeight="1">
      <c r="B18" s="121" t="s">
        <v>1166</v>
      </c>
      <c r="C18" s="131"/>
      <c r="D18" s="123" t="s">
        <v>1168</v>
      </c>
      <c r="E18" s="122" t="s">
        <v>97</v>
      </c>
      <c r="F18" s="130">
        <f>0.2*0.15*2+0.15*10</f>
        <v>1.56</v>
      </c>
      <c r="I18" s="125"/>
      <c r="J18" s="126"/>
    </row>
    <row r="19" spans="2:10" ht="30" customHeight="1">
      <c r="B19" s="121" t="s">
        <v>1169</v>
      </c>
      <c r="C19" s="131" t="s">
        <v>1151</v>
      </c>
      <c r="D19" s="123" t="s">
        <v>1171</v>
      </c>
      <c r="E19" s="122" t="s">
        <v>97</v>
      </c>
      <c r="F19" s="130">
        <f>0.15*0.2*10</f>
        <v>0.3</v>
      </c>
      <c r="I19" s="125"/>
      <c r="J19" s="126"/>
    </row>
    <row r="20" spans="2:10" ht="30" customHeight="1">
      <c r="B20" s="121" t="s">
        <v>1172</v>
      </c>
      <c r="C20" s="129" t="s">
        <v>1174</v>
      </c>
      <c r="D20" s="123" t="s">
        <v>1175</v>
      </c>
      <c r="E20" s="122" t="s">
        <v>1177</v>
      </c>
      <c r="F20" s="130">
        <f>1.11*25*0.995</f>
        <v>27.611250000000002</v>
      </c>
      <c r="I20" s="125"/>
      <c r="J20" s="126"/>
    </row>
    <row r="21" spans="2:10" ht="30" customHeight="1">
      <c r="B21" s="121" t="s">
        <v>1178</v>
      </c>
      <c r="C21" s="122"/>
      <c r="D21" s="123" t="s">
        <v>1180</v>
      </c>
      <c r="E21" s="122" t="s">
        <v>1177</v>
      </c>
      <c r="F21" s="130">
        <f>9*10*0.56</f>
        <v>50.400000000000006</v>
      </c>
      <c r="I21" s="125"/>
      <c r="J21" s="126"/>
    </row>
    <row r="22" spans="2:10" ht="30" customHeight="1">
      <c r="B22" s="121" t="s">
        <v>1181</v>
      </c>
      <c r="C22" s="129"/>
      <c r="D22" s="123" t="s">
        <v>1182</v>
      </c>
      <c r="E22" s="122" t="s">
        <v>1183</v>
      </c>
      <c r="F22" s="130">
        <f>0.15*10</f>
        <v>1.5</v>
      </c>
      <c r="I22" s="125"/>
      <c r="J22" s="126"/>
    </row>
    <row r="23" spans="2:10" ht="30" customHeight="1">
      <c r="B23" s="121" t="s">
        <v>1184</v>
      </c>
      <c r="C23" s="122"/>
      <c r="D23" s="123" t="s">
        <v>1185</v>
      </c>
      <c r="E23" s="122" t="s">
        <v>1187</v>
      </c>
      <c r="F23" s="130">
        <f>10*0.4/2*0.15</f>
        <v>0.3</v>
      </c>
      <c r="I23" s="125"/>
      <c r="J23" s="126"/>
    </row>
    <row r="24" spans="2:10" ht="30" customHeight="1">
      <c r="B24" s="121" t="s">
        <v>1188</v>
      </c>
      <c r="C24" s="122"/>
      <c r="D24" s="123" t="s">
        <v>1189</v>
      </c>
      <c r="E24" s="122" t="s">
        <v>1143</v>
      </c>
      <c r="F24" s="132">
        <f>0.1*0.1*(10*0.4/2)</f>
        <v>0.020000000000000004</v>
      </c>
      <c r="I24" s="125"/>
      <c r="J24" s="126"/>
    </row>
    <row r="25" spans="2:10" ht="30" customHeight="1">
      <c r="B25" s="121" t="s">
        <v>1190</v>
      </c>
      <c r="C25" s="122"/>
      <c r="D25" s="123" t="s">
        <v>1192</v>
      </c>
      <c r="E25" s="122" t="s">
        <v>1193</v>
      </c>
      <c r="F25" s="132">
        <f>25*3</f>
        <v>75</v>
      </c>
      <c r="I25" s="125"/>
      <c r="J25" s="126"/>
    </row>
    <row r="26" spans="2:10" ht="30" customHeight="1">
      <c r="B26" s="121" t="s">
        <v>1194</v>
      </c>
      <c r="C26" s="128" t="s">
        <v>1196</v>
      </c>
      <c r="D26" s="123" t="s">
        <v>1198</v>
      </c>
      <c r="E26" s="122" t="s">
        <v>1199</v>
      </c>
      <c r="F26" s="133">
        <f>(24*0.6+10*2)*0.025*0.01+(0.11+0.15)*0.5*0.02*10</f>
        <v>0.034600000000000006</v>
      </c>
      <c r="I26" s="125"/>
      <c r="J26" s="126"/>
    </row>
    <row r="27" spans="2:10" ht="30" customHeight="1">
      <c r="B27" s="121" t="s">
        <v>1200</v>
      </c>
      <c r="C27" s="131" t="s">
        <v>1201</v>
      </c>
      <c r="D27" s="123" t="s">
        <v>1202</v>
      </c>
      <c r="E27" s="122" t="s">
        <v>1199</v>
      </c>
      <c r="F27" s="132">
        <f>0.15*0.6*10*0.586</f>
        <v>0.5273999999999999</v>
      </c>
      <c r="I27" s="125"/>
      <c r="J27" s="126"/>
    </row>
    <row r="28" spans="2:10" ht="30" customHeight="1">
      <c r="B28" s="121"/>
      <c r="C28" s="122"/>
      <c r="D28" s="123"/>
      <c r="E28" s="122"/>
      <c r="F28" s="134"/>
      <c r="I28" s="125"/>
      <c r="J28" s="126"/>
    </row>
    <row r="29" spans="2:10" ht="30" customHeight="1">
      <c r="B29" s="121"/>
      <c r="C29" s="122"/>
      <c r="D29" s="135"/>
      <c r="E29" s="122"/>
      <c r="F29" s="136"/>
      <c r="I29" s="125"/>
      <c r="J29" s="126"/>
    </row>
    <row r="30" spans="2:10" ht="30" customHeight="1" thickBot="1">
      <c r="B30" s="137"/>
      <c r="C30" s="138"/>
      <c r="D30" s="139"/>
      <c r="E30" s="138"/>
      <c r="F30" s="140"/>
      <c r="I30" s="125"/>
      <c r="J30" s="126"/>
    </row>
    <row r="32" spans="9:10" ht="13.5">
      <c r="I32" s="117"/>
      <c r="J32" s="141"/>
    </row>
    <row r="33" spans="1:4" ht="13.5">
      <c r="A33" s="107"/>
      <c r="B33" s="107"/>
      <c r="C33" s="107"/>
      <c r="D33" s="107"/>
    </row>
    <row r="34" spans="1:4" ht="13.5">
      <c r="A34" s="107"/>
      <c r="B34" s="142"/>
      <c r="C34" s="142"/>
      <c r="D34" s="107"/>
    </row>
    <row r="35" spans="1:4" ht="13.5">
      <c r="A35" s="107"/>
      <c r="B35" s="142"/>
      <c r="C35" s="142"/>
      <c r="D35" s="107"/>
    </row>
    <row r="36" spans="1:4" ht="13.5">
      <c r="A36" s="107"/>
      <c r="B36" s="142"/>
      <c r="C36" s="142"/>
      <c r="D36" s="107"/>
    </row>
    <row r="37" spans="1:4" ht="13.5">
      <c r="A37" s="107"/>
      <c r="B37" s="142"/>
      <c r="C37" s="142"/>
      <c r="D37" s="107"/>
    </row>
    <row r="38" spans="1:4" ht="13.5">
      <c r="A38" s="107"/>
      <c r="B38" s="142"/>
      <c r="C38" s="142"/>
      <c r="D38" s="107"/>
    </row>
    <row r="39" spans="1:4" ht="13.5">
      <c r="A39" s="107"/>
      <c r="B39" s="142"/>
      <c r="C39" s="142"/>
      <c r="D39" s="107"/>
    </row>
    <row r="40" spans="1:4" ht="13.5">
      <c r="A40" s="107"/>
      <c r="B40" s="142"/>
      <c r="C40" s="142"/>
      <c r="D40" s="107"/>
    </row>
    <row r="41" spans="1:4" ht="13.5">
      <c r="A41" s="107"/>
      <c r="B41" s="142"/>
      <c r="C41" s="142"/>
      <c r="D41" s="107"/>
    </row>
    <row r="42" spans="1:4" ht="13.5">
      <c r="A42" s="107"/>
      <c r="B42" s="142"/>
      <c r="C42" s="143"/>
      <c r="D42" s="107"/>
    </row>
    <row r="43" spans="1:4" ht="13.5">
      <c r="A43" s="107"/>
      <c r="B43" s="144"/>
      <c r="C43" s="142"/>
      <c r="D43" s="107"/>
    </row>
    <row r="44" spans="1:4" ht="13.5">
      <c r="A44" s="107"/>
      <c r="B44" s="142"/>
      <c r="C44" s="143"/>
      <c r="D44" s="107"/>
    </row>
    <row r="45" spans="1:4" ht="13.5">
      <c r="A45" s="107"/>
      <c r="B45" s="107"/>
      <c r="C45" s="107"/>
      <c r="D45" s="107"/>
    </row>
  </sheetData>
  <sheetProtection/>
  <mergeCells count="1">
    <mergeCell ref="B4:F4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268</v>
      </c>
      <c r="C3" s="20"/>
      <c r="D3" s="21"/>
      <c r="E3" s="22"/>
      <c r="F3" s="23"/>
    </row>
    <row r="4" spans="2:6" ht="30" customHeight="1">
      <c r="B4" s="71" t="s">
        <v>267</v>
      </c>
      <c r="C4" s="25"/>
      <c r="D4" s="25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41</v>
      </c>
      <c r="E7" s="6" t="s">
        <v>97</v>
      </c>
      <c r="F7" s="36">
        <f>0.8*0.8*3.14/4*1.25*10</f>
        <v>6.280000000000001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43</v>
      </c>
      <c r="E8" s="6" t="s">
        <v>97</v>
      </c>
      <c r="F8" s="34">
        <f>6.3-5.8</f>
        <v>0.5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42</v>
      </c>
      <c r="E9" s="6" t="s">
        <v>97</v>
      </c>
      <c r="F9" s="36">
        <f>(0.8*0.8*3.14/4*1.15+0.2*0.2*3.14/4*0.1)*10</f>
        <v>5.809000000000001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44</v>
      </c>
      <c r="E10" s="6" t="s">
        <v>393</v>
      </c>
      <c r="F10" s="36">
        <f>0.8*0.8*3.14/4*10</f>
        <v>5.024000000000001</v>
      </c>
      <c r="I10" s="32"/>
      <c r="J10" s="33"/>
    </row>
    <row r="11" spans="2:10" ht="30" customHeight="1">
      <c r="B11" s="5" t="s">
        <v>291</v>
      </c>
      <c r="C11" s="6" t="s">
        <v>323</v>
      </c>
      <c r="D11" s="3" t="s">
        <v>44</v>
      </c>
      <c r="E11" s="6" t="s">
        <v>393</v>
      </c>
      <c r="F11" s="62">
        <f>0.8*0.8*3.14/4*10</f>
        <v>5.024000000000001</v>
      </c>
      <c r="I11" s="32"/>
      <c r="J11" s="33"/>
    </row>
    <row r="12" spans="2:10" ht="30" customHeight="1">
      <c r="B12" s="5" t="s">
        <v>305</v>
      </c>
      <c r="C12" s="6" t="s">
        <v>324</v>
      </c>
      <c r="D12" s="37" t="s">
        <v>14</v>
      </c>
      <c r="E12" s="6" t="s">
        <v>397</v>
      </c>
      <c r="F12" s="62">
        <f>1*10</f>
        <v>10</v>
      </c>
      <c r="I12" s="32"/>
      <c r="J12" s="33"/>
    </row>
    <row r="13" spans="2:10" ht="30" customHeight="1">
      <c r="B13" s="5" t="s">
        <v>294</v>
      </c>
      <c r="C13" s="6" t="s">
        <v>295</v>
      </c>
      <c r="D13" s="37" t="s">
        <v>265</v>
      </c>
      <c r="E13" s="6" t="s">
        <v>97</v>
      </c>
      <c r="F13" s="53">
        <f>(0.8*0.8*3.14/4*1-0.0891*0.0891*3.14/4*0.6)*10</f>
        <v>4.9866082049000005</v>
      </c>
      <c r="I13" s="32"/>
      <c r="J13" s="33"/>
    </row>
    <row r="14" spans="1:6" ht="39.75" customHeight="1">
      <c r="A14" s="18"/>
      <c r="B14" s="63" t="s">
        <v>10</v>
      </c>
      <c r="C14" s="64"/>
      <c r="D14" s="65"/>
      <c r="E14" s="66"/>
      <c r="F14" s="67"/>
    </row>
    <row r="15" spans="2:6" ht="30" customHeight="1">
      <c r="B15" s="71" t="s">
        <v>266</v>
      </c>
      <c r="C15" s="25"/>
      <c r="D15" s="25"/>
      <c r="E15" s="7">
        <v>10</v>
      </c>
      <c r="F15" s="8" t="s">
        <v>11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70">
        <v>0</v>
      </c>
      <c r="D19" s="3" t="s">
        <v>24</v>
      </c>
      <c r="E19" s="6" t="s">
        <v>395</v>
      </c>
      <c r="F19" s="9">
        <f>10/2.04</f>
        <v>4.901960784313726</v>
      </c>
      <c r="I19" s="32"/>
      <c r="J19" s="33"/>
    </row>
    <row r="20" spans="2:10" ht="30" customHeight="1">
      <c r="B20" s="5" t="s">
        <v>327</v>
      </c>
      <c r="C20" s="6" t="s">
        <v>297</v>
      </c>
      <c r="D20" s="4" t="s">
        <v>25</v>
      </c>
      <c r="E20" s="6" t="s">
        <v>97</v>
      </c>
      <c r="F20" s="38">
        <f>(0.2*0.2-0.0891*0.0891)*3.14/4*0.1*10/2.04</f>
        <v>0.012337271642156868</v>
      </c>
      <c r="I20" s="32"/>
      <c r="J20" s="33"/>
    </row>
    <row r="21" spans="2:10" ht="30" customHeight="1">
      <c r="B21" s="69"/>
      <c r="C21" s="70"/>
      <c r="D21" s="3"/>
      <c r="E21" s="6"/>
      <c r="F21" s="9"/>
      <c r="I21" s="32"/>
      <c r="J21" s="33"/>
    </row>
    <row r="22" spans="2:10" ht="30" customHeight="1">
      <c r="B22" s="69"/>
      <c r="C22" s="6"/>
      <c r="D22" s="3"/>
      <c r="E22" s="6"/>
      <c r="F22" s="9"/>
      <c r="I22" s="32"/>
      <c r="J22" s="33"/>
    </row>
    <row r="23" spans="2:10" ht="30" customHeight="1">
      <c r="B23" s="69"/>
      <c r="C23" s="6"/>
      <c r="D23" s="4"/>
      <c r="E23" s="6"/>
      <c r="F23" s="68"/>
      <c r="I23" s="32"/>
      <c r="J23" s="33"/>
    </row>
    <row r="24" spans="2:10" ht="30" customHeight="1">
      <c r="B24" s="69"/>
      <c r="C24" s="6"/>
      <c r="D24" s="4"/>
      <c r="E24" s="6"/>
      <c r="F24" s="38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SUM(J14:J32)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6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209</v>
      </c>
      <c r="C3" s="20"/>
      <c r="D3" s="21"/>
      <c r="E3" s="22"/>
      <c r="F3" s="23"/>
    </row>
    <row r="4" spans="2:6" ht="30" customHeight="1">
      <c r="B4" s="61" t="s">
        <v>52</v>
      </c>
      <c r="C4" s="25"/>
      <c r="D4" s="25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53</v>
      </c>
      <c r="E7" s="6" t="s">
        <v>97</v>
      </c>
      <c r="F7" s="36">
        <f>0.8*0.8*3.14/4*1.35*10</f>
        <v>6.782400000000002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55</v>
      </c>
      <c r="E8" s="6" t="s">
        <v>97</v>
      </c>
      <c r="F8" s="34">
        <f>6.8-6.3</f>
        <v>0.5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54</v>
      </c>
      <c r="E9" s="6" t="s">
        <v>97</v>
      </c>
      <c r="F9" s="36">
        <f>(0.8*0.8*3.14/4*1.25+0.2*0.2*3.14/4*0.1)*10</f>
        <v>6.311400000000002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44</v>
      </c>
      <c r="E10" s="6" t="s">
        <v>393</v>
      </c>
      <c r="F10" s="36">
        <f>0.8*0.8*3.14/4*10</f>
        <v>5.024000000000001</v>
      </c>
      <c r="I10" s="32"/>
      <c r="J10" s="33"/>
    </row>
    <row r="11" spans="2:10" ht="30" customHeight="1">
      <c r="B11" s="5" t="s">
        <v>291</v>
      </c>
      <c r="C11" s="6" t="s">
        <v>323</v>
      </c>
      <c r="D11" s="3" t="s">
        <v>44</v>
      </c>
      <c r="E11" s="6" t="s">
        <v>393</v>
      </c>
      <c r="F11" s="62">
        <f>0.8*0.8*3.14/4*10</f>
        <v>5.024000000000001</v>
      </c>
      <c r="I11" s="32"/>
      <c r="J11" s="33"/>
    </row>
    <row r="12" spans="2:10" ht="30" customHeight="1">
      <c r="B12" s="5" t="s">
        <v>305</v>
      </c>
      <c r="C12" s="6" t="s">
        <v>324</v>
      </c>
      <c r="D12" s="37" t="s">
        <v>56</v>
      </c>
      <c r="E12" s="6" t="s">
        <v>397</v>
      </c>
      <c r="F12" s="62">
        <f>1.1*10</f>
        <v>11</v>
      </c>
      <c r="I12" s="32"/>
      <c r="J12" s="33"/>
    </row>
    <row r="13" spans="2:10" ht="30" customHeight="1">
      <c r="B13" s="5" t="s">
        <v>294</v>
      </c>
      <c r="C13" s="6" t="s">
        <v>295</v>
      </c>
      <c r="D13" s="37" t="s">
        <v>57</v>
      </c>
      <c r="E13" s="6" t="s">
        <v>97</v>
      </c>
      <c r="F13" s="53">
        <f>(0.8*0.8*3.14/4*1.1-0.0891*0.0891*3.14/4*0.5)*10</f>
        <v>5.495240170750001</v>
      </c>
      <c r="I13" s="32"/>
      <c r="J13" s="33"/>
    </row>
    <row r="14" spans="1:6" ht="39.75" customHeight="1">
      <c r="A14" s="18"/>
      <c r="B14" s="63" t="s">
        <v>49</v>
      </c>
      <c r="C14" s="64"/>
      <c r="D14" s="65"/>
      <c r="E14" s="66"/>
      <c r="F14" s="67"/>
    </row>
    <row r="15" spans="2:6" ht="30" customHeight="1">
      <c r="B15" s="61" t="s">
        <v>52</v>
      </c>
      <c r="C15" s="25"/>
      <c r="D15" s="25"/>
      <c r="E15" s="7">
        <v>10</v>
      </c>
      <c r="F15" s="8" t="s">
        <v>50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3" t="s">
        <v>51</v>
      </c>
      <c r="E19" s="6" t="s">
        <v>395</v>
      </c>
      <c r="F19" s="9">
        <f>10/2.04</f>
        <v>4.901960784313726</v>
      </c>
      <c r="I19" s="32"/>
      <c r="J19" s="33"/>
    </row>
    <row r="20" spans="2:10" ht="30" customHeight="1">
      <c r="B20" s="5" t="s">
        <v>327</v>
      </c>
      <c r="C20" s="6" t="s">
        <v>297</v>
      </c>
      <c r="D20" s="4" t="s">
        <v>86</v>
      </c>
      <c r="E20" s="6" t="s">
        <v>97</v>
      </c>
      <c r="F20" s="68">
        <f>(0.2*0.2-0.0891*0.0891)*3.14/4*0.1*10/2.04</f>
        <v>0.012337271642156868</v>
      </c>
      <c r="I20" s="32"/>
      <c r="J20" s="33"/>
    </row>
    <row r="21" spans="2:10" ht="30" customHeight="1">
      <c r="B21" s="5"/>
      <c r="C21" s="6"/>
      <c r="D21" s="3"/>
      <c r="E21" s="6"/>
      <c r="F21" s="38"/>
      <c r="I21" s="32"/>
      <c r="J21" s="33"/>
    </row>
    <row r="22" spans="2:10" ht="30" customHeight="1">
      <c r="B22" s="69"/>
      <c r="C22" s="6"/>
      <c r="D22" s="4"/>
      <c r="E22" s="6"/>
      <c r="F22" s="38"/>
      <c r="I22" s="32"/>
      <c r="J22" s="33"/>
    </row>
    <row r="23" spans="2:10" ht="30" customHeight="1">
      <c r="B23" s="5"/>
      <c r="C23" s="70"/>
      <c r="D23" s="37"/>
      <c r="E23" s="6"/>
      <c r="F23" s="9"/>
      <c r="I23" s="32"/>
      <c r="J23" s="33"/>
    </row>
    <row r="24" spans="2:10" ht="30" customHeight="1">
      <c r="B24" s="69"/>
      <c r="C24" s="70"/>
      <c r="D24" s="3"/>
      <c r="E24" s="6"/>
      <c r="F24" s="9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SUM(J14:J32)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283</v>
      </c>
      <c r="C3" s="20"/>
      <c r="D3" s="21"/>
      <c r="E3" s="22"/>
      <c r="F3" s="23"/>
    </row>
    <row r="4" spans="2:6" ht="30" customHeight="1">
      <c r="B4" s="61" t="s">
        <v>270</v>
      </c>
      <c r="C4" s="25"/>
      <c r="D4" s="25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53</v>
      </c>
      <c r="E7" s="6" t="s">
        <v>97</v>
      </c>
      <c r="F7" s="36">
        <f>0.8*0.8*3.14/4*1.35*10</f>
        <v>6.782400000000002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55</v>
      </c>
      <c r="E8" s="6" t="s">
        <v>97</v>
      </c>
      <c r="F8" s="34">
        <f>6.8-6.3</f>
        <v>0.5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54</v>
      </c>
      <c r="E9" s="6" t="s">
        <v>97</v>
      </c>
      <c r="F9" s="36">
        <f>(0.8*0.8*3.14/4*1.25+0.2*0.2*3.14/4*0.1)*10</f>
        <v>6.311400000000002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44</v>
      </c>
      <c r="E10" s="6" t="s">
        <v>393</v>
      </c>
      <c r="F10" s="36">
        <f>0.8*0.8*3.14/4*10</f>
        <v>5.024000000000001</v>
      </c>
      <c r="I10" s="32"/>
      <c r="J10" s="33"/>
    </row>
    <row r="11" spans="2:10" ht="30" customHeight="1">
      <c r="B11" s="5" t="s">
        <v>291</v>
      </c>
      <c r="C11" s="6" t="s">
        <v>323</v>
      </c>
      <c r="D11" s="3" t="s">
        <v>44</v>
      </c>
      <c r="E11" s="6" t="s">
        <v>393</v>
      </c>
      <c r="F11" s="62">
        <f>0.8*0.8*3.14/4*10</f>
        <v>5.024000000000001</v>
      </c>
      <c r="I11" s="32"/>
      <c r="J11" s="33"/>
    </row>
    <row r="12" spans="2:10" ht="30" customHeight="1">
      <c r="B12" s="5" t="s">
        <v>305</v>
      </c>
      <c r="C12" s="6" t="s">
        <v>324</v>
      </c>
      <c r="D12" s="37" t="s">
        <v>34</v>
      </c>
      <c r="E12" s="6" t="s">
        <v>397</v>
      </c>
      <c r="F12" s="62">
        <f>1.1*10</f>
        <v>11</v>
      </c>
      <c r="I12" s="32"/>
      <c r="J12" s="33"/>
    </row>
    <row r="13" spans="2:10" ht="30" customHeight="1">
      <c r="B13" s="5" t="s">
        <v>294</v>
      </c>
      <c r="C13" s="6" t="s">
        <v>295</v>
      </c>
      <c r="D13" s="37" t="s">
        <v>269</v>
      </c>
      <c r="E13" s="6" t="s">
        <v>97</v>
      </c>
      <c r="F13" s="53">
        <f>(0.8*0.8*3.14/4*1.1-0.0891*0.0891*3.14/4*0.6)*10</f>
        <v>5.489008204900001</v>
      </c>
      <c r="I13" s="32"/>
      <c r="J13" s="33"/>
    </row>
    <row r="14" spans="1:6" ht="39.75" customHeight="1">
      <c r="A14" s="18"/>
      <c r="B14" s="63" t="s">
        <v>10</v>
      </c>
      <c r="C14" s="64"/>
      <c r="D14" s="65"/>
      <c r="E14" s="66"/>
      <c r="F14" s="67"/>
    </row>
    <row r="15" spans="2:6" ht="30" customHeight="1">
      <c r="B15" s="61" t="s">
        <v>270</v>
      </c>
      <c r="C15" s="25"/>
      <c r="D15" s="25"/>
      <c r="E15" s="7">
        <v>10</v>
      </c>
      <c r="F15" s="8" t="s">
        <v>11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3" t="s">
        <v>24</v>
      </c>
      <c r="E19" s="6" t="s">
        <v>395</v>
      </c>
      <c r="F19" s="9">
        <f>10/2.04</f>
        <v>4.901960784313726</v>
      </c>
      <c r="I19" s="32"/>
      <c r="J19" s="33"/>
    </row>
    <row r="20" spans="2:10" ht="30" customHeight="1">
      <c r="B20" s="5" t="s">
        <v>327</v>
      </c>
      <c r="C20" s="6" t="s">
        <v>297</v>
      </c>
      <c r="D20" s="4" t="s">
        <v>25</v>
      </c>
      <c r="E20" s="6" t="s">
        <v>97</v>
      </c>
      <c r="F20" s="68">
        <f>(0.2*0.2-0.0891*0.0891)*3.14/4*0.1*10/2.04</f>
        <v>0.012337271642156868</v>
      </c>
      <c r="I20" s="32"/>
      <c r="J20" s="33"/>
    </row>
    <row r="21" spans="2:10" ht="30" customHeight="1">
      <c r="B21" s="5"/>
      <c r="C21" s="6"/>
      <c r="D21" s="3"/>
      <c r="E21" s="6"/>
      <c r="F21" s="38"/>
      <c r="I21" s="32"/>
      <c r="J21" s="33"/>
    </row>
    <row r="22" spans="2:10" ht="30" customHeight="1">
      <c r="B22" s="69"/>
      <c r="C22" s="6"/>
      <c r="D22" s="4"/>
      <c r="E22" s="6"/>
      <c r="F22" s="38"/>
      <c r="I22" s="32"/>
      <c r="J22" s="33"/>
    </row>
    <row r="23" spans="2:10" ht="30" customHeight="1">
      <c r="B23" s="5"/>
      <c r="C23" s="70"/>
      <c r="D23" s="37"/>
      <c r="E23" s="6"/>
      <c r="F23" s="9"/>
      <c r="I23" s="32"/>
      <c r="J23" s="33"/>
    </row>
    <row r="24" spans="2:10" ht="30" customHeight="1">
      <c r="B24" s="69"/>
      <c r="C24" s="70"/>
      <c r="D24" s="3"/>
      <c r="E24" s="6"/>
      <c r="F24" s="9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SUM(J14:J32)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3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282</v>
      </c>
      <c r="C3" s="20"/>
      <c r="D3" s="21"/>
      <c r="E3" s="22"/>
      <c r="F3" s="23"/>
    </row>
    <row r="4" spans="2:6" ht="30" customHeight="1">
      <c r="B4" s="95" t="s">
        <v>271</v>
      </c>
      <c r="C4" s="96"/>
      <c r="D4" s="96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272</v>
      </c>
      <c r="E7" s="6" t="s">
        <v>97</v>
      </c>
      <c r="F7" s="36">
        <f>0.8*0.8*3.14/4*1.45*10</f>
        <v>7.2848000000000015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274</v>
      </c>
      <c r="E8" s="6" t="s">
        <v>97</v>
      </c>
      <c r="F8" s="34">
        <f>7.3-6.8</f>
        <v>0.5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273</v>
      </c>
      <c r="E9" s="6" t="s">
        <v>97</v>
      </c>
      <c r="F9" s="36">
        <f>(0.8*0.8*3.14/4*1.35+0.2*0.2*3.14/4*0.1)*10</f>
        <v>6.813800000000002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44</v>
      </c>
      <c r="E10" s="6" t="s">
        <v>393</v>
      </c>
      <c r="F10" s="36">
        <f>0.8*0.8*3.14/4*10</f>
        <v>5.024000000000001</v>
      </c>
      <c r="I10" s="32"/>
      <c r="J10" s="33"/>
    </row>
    <row r="11" spans="2:10" ht="30" customHeight="1">
      <c r="B11" s="5" t="s">
        <v>291</v>
      </c>
      <c r="C11" s="6" t="s">
        <v>323</v>
      </c>
      <c r="D11" s="3" t="s">
        <v>44</v>
      </c>
      <c r="E11" s="6" t="s">
        <v>393</v>
      </c>
      <c r="F11" s="62">
        <f>0.8*0.8*3.14/4*10</f>
        <v>5.024000000000001</v>
      </c>
      <c r="I11" s="32"/>
      <c r="J11" s="33"/>
    </row>
    <row r="12" spans="2:10" ht="30" customHeight="1">
      <c r="B12" s="5" t="s">
        <v>305</v>
      </c>
      <c r="C12" s="6" t="s">
        <v>324</v>
      </c>
      <c r="D12" s="37" t="s">
        <v>275</v>
      </c>
      <c r="E12" s="6" t="s">
        <v>397</v>
      </c>
      <c r="F12" s="62">
        <f>1.2*10</f>
        <v>12</v>
      </c>
      <c r="I12" s="32"/>
      <c r="J12" s="33"/>
    </row>
    <row r="13" spans="2:10" ht="30" customHeight="1">
      <c r="B13" s="5" t="s">
        <v>294</v>
      </c>
      <c r="C13" s="6" t="s">
        <v>295</v>
      </c>
      <c r="D13" s="37" t="s">
        <v>269</v>
      </c>
      <c r="E13" s="6" t="s">
        <v>97</v>
      </c>
      <c r="F13" s="53">
        <f>(0.8*0.8*3.14/4*1.1-0.0891*0.0891*3.14/4*0.6)*10</f>
        <v>5.489008204900001</v>
      </c>
      <c r="I13" s="32"/>
      <c r="J13" s="33"/>
    </row>
    <row r="14" spans="1:6" ht="39.75" customHeight="1">
      <c r="A14" s="18"/>
      <c r="B14" s="63" t="s">
        <v>10</v>
      </c>
      <c r="C14" s="64"/>
      <c r="D14" s="65"/>
      <c r="E14" s="66"/>
      <c r="F14" s="67"/>
    </row>
    <row r="15" spans="2:6" ht="30" customHeight="1">
      <c r="B15" s="95" t="s">
        <v>271</v>
      </c>
      <c r="C15" s="96"/>
      <c r="D15" s="96"/>
      <c r="E15" s="7">
        <v>10</v>
      </c>
      <c r="F15" s="8" t="s">
        <v>11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3" t="s">
        <v>276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327</v>
      </c>
      <c r="C20" s="6" t="s">
        <v>297</v>
      </c>
      <c r="D20" s="4" t="s">
        <v>277</v>
      </c>
      <c r="E20" s="6" t="s">
        <v>97</v>
      </c>
      <c r="F20" s="68">
        <f>(0.2*0.2-0.0891*0.0891)*3.14/4*0.1*10/2</f>
        <v>0.012584017075000006</v>
      </c>
      <c r="I20" s="32"/>
      <c r="J20" s="33"/>
    </row>
    <row r="21" spans="2:10" ht="30" customHeight="1">
      <c r="B21" s="5"/>
      <c r="C21" s="6"/>
      <c r="D21" s="3"/>
      <c r="E21" s="6"/>
      <c r="F21" s="38"/>
      <c r="I21" s="32"/>
      <c r="J21" s="33"/>
    </row>
    <row r="22" spans="2:10" ht="30" customHeight="1">
      <c r="B22" s="69"/>
      <c r="C22" s="6"/>
      <c r="D22" s="4"/>
      <c r="E22" s="6"/>
      <c r="F22" s="38"/>
      <c r="I22" s="32"/>
      <c r="J22" s="33"/>
    </row>
    <row r="23" spans="2:10" ht="30" customHeight="1">
      <c r="B23" s="5"/>
      <c r="C23" s="70"/>
      <c r="D23" s="37"/>
      <c r="E23" s="6"/>
      <c r="F23" s="9"/>
      <c r="I23" s="32"/>
      <c r="J23" s="33"/>
    </row>
    <row r="24" spans="2:10" ht="30" customHeight="1">
      <c r="B24" s="69"/>
      <c r="C24" s="70"/>
      <c r="D24" s="3"/>
      <c r="E24" s="6"/>
      <c r="F24" s="9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SUM(J14:J32)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mergeCells count="2">
    <mergeCell ref="B4:D4"/>
    <mergeCell ref="B15:D15"/>
  </mergeCells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3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280</v>
      </c>
      <c r="C3" s="20"/>
      <c r="D3" s="21"/>
      <c r="E3" s="22"/>
      <c r="F3" s="23"/>
    </row>
    <row r="4" spans="2:6" ht="30" customHeight="1">
      <c r="B4" s="95" t="s">
        <v>278</v>
      </c>
      <c r="C4" s="96"/>
      <c r="D4" s="96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322</v>
      </c>
      <c r="C7" s="6">
        <v>0</v>
      </c>
      <c r="D7" s="3" t="s">
        <v>272</v>
      </c>
      <c r="E7" s="6" t="s">
        <v>97</v>
      </c>
      <c r="F7" s="36">
        <f>0.8*0.8*3.14/4*1.45*10</f>
        <v>7.2848000000000015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274</v>
      </c>
      <c r="E8" s="6" t="s">
        <v>97</v>
      </c>
      <c r="F8" s="34">
        <f>7.3-6.8</f>
        <v>0.5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273</v>
      </c>
      <c r="E9" s="6" t="s">
        <v>97</v>
      </c>
      <c r="F9" s="36">
        <f>(0.8*0.8*3.14/4*1.35+0.2*0.2*3.14/4*0.1)*10</f>
        <v>6.813800000000002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44</v>
      </c>
      <c r="E10" s="6" t="s">
        <v>393</v>
      </c>
      <c r="F10" s="36">
        <f>0.8*0.8*3.14/4*10</f>
        <v>5.024000000000001</v>
      </c>
      <c r="I10" s="32"/>
      <c r="J10" s="33"/>
    </row>
    <row r="11" spans="2:10" ht="30" customHeight="1">
      <c r="B11" s="5" t="s">
        <v>291</v>
      </c>
      <c r="C11" s="6" t="s">
        <v>323</v>
      </c>
      <c r="D11" s="3" t="s">
        <v>44</v>
      </c>
      <c r="E11" s="6" t="s">
        <v>393</v>
      </c>
      <c r="F11" s="62">
        <f>0.8*0.8*3.14/4*10</f>
        <v>5.024000000000001</v>
      </c>
      <c r="I11" s="32"/>
      <c r="J11" s="33"/>
    </row>
    <row r="12" spans="2:10" ht="30" customHeight="1">
      <c r="B12" s="5" t="s">
        <v>305</v>
      </c>
      <c r="C12" s="6" t="s">
        <v>324</v>
      </c>
      <c r="D12" s="37" t="s">
        <v>275</v>
      </c>
      <c r="E12" s="6" t="s">
        <v>397</v>
      </c>
      <c r="F12" s="62">
        <f>1.2*10</f>
        <v>12</v>
      </c>
      <c r="I12" s="32"/>
      <c r="J12" s="33"/>
    </row>
    <row r="13" spans="2:10" ht="30" customHeight="1">
      <c r="B13" s="5" t="s">
        <v>294</v>
      </c>
      <c r="C13" s="6" t="s">
        <v>295</v>
      </c>
      <c r="D13" s="37" t="s">
        <v>269</v>
      </c>
      <c r="E13" s="6" t="s">
        <v>97</v>
      </c>
      <c r="F13" s="53">
        <f>(0.8*0.8*3.14/4*1.1-0.0891*0.0891*3.14/4*0.6)*10</f>
        <v>5.489008204900001</v>
      </c>
      <c r="I13" s="32"/>
      <c r="J13" s="33"/>
    </row>
    <row r="14" spans="1:6" ht="39.75" customHeight="1">
      <c r="A14" s="18"/>
      <c r="B14" s="63" t="s">
        <v>10</v>
      </c>
      <c r="C14" s="64"/>
      <c r="D14" s="65"/>
      <c r="E14" s="66"/>
      <c r="F14" s="67"/>
    </row>
    <row r="15" spans="2:6" ht="30" customHeight="1">
      <c r="B15" s="95" t="s">
        <v>278</v>
      </c>
      <c r="C15" s="96"/>
      <c r="D15" s="96"/>
      <c r="E15" s="7">
        <v>10</v>
      </c>
      <c r="F15" s="8" t="s">
        <v>11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3" t="s">
        <v>279</v>
      </c>
      <c r="E19" s="6" t="s">
        <v>395</v>
      </c>
      <c r="F19" s="9">
        <f>10/1.8</f>
        <v>5.555555555555555</v>
      </c>
      <c r="I19" s="32"/>
      <c r="J19" s="33"/>
    </row>
    <row r="20" spans="2:10" ht="30" customHeight="1">
      <c r="B20" s="5" t="s">
        <v>327</v>
      </c>
      <c r="C20" s="6" t="s">
        <v>297</v>
      </c>
      <c r="D20" s="4" t="s">
        <v>281</v>
      </c>
      <c r="E20" s="6" t="s">
        <v>97</v>
      </c>
      <c r="F20" s="68">
        <f>(0.2*0.2-0.0891*0.0891)*3.14/4*0.1*10/1.8</f>
        <v>0.01398224119444445</v>
      </c>
      <c r="I20" s="32"/>
      <c r="J20" s="33"/>
    </row>
    <row r="21" spans="2:10" ht="30" customHeight="1">
      <c r="B21" s="5"/>
      <c r="C21" s="6"/>
      <c r="D21" s="3"/>
      <c r="E21" s="6"/>
      <c r="F21" s="38"/>
      <c r="I21" s="32"/>
      <c r="J21" s="33"/>
    </row>
    <row r="22" spans="2:10" ht="30" customHeight="1">
      <c r="B22" s="69"/>
      <c r="C22" s="6"/>
      <c r="D22" s="4"/>
      <c r="E22" s="6"/>
      <c r="F22" s="38"/>
      <c r="I22" s="32"/>
      <c r="J22" s="33"/>
    </row>
    <row r="23" spans="2:10" ht="30" customHeight="1">
      <c r="B23" s="5"/>
      <c r="C23" s="70"/>
      <c r="D23" s="37"/>
      <c r="E23" s="6"/>
      <c r="F23" s="9"/>
      <c r="I23" s="32"/>
      <c r="J23" s="33"/>
    </row>
    <row r="24" spans="2:10" ht="30" customHeight="1">
      <c r="B24" s="69"/>
      <c r="C24" s="70"/>
      <c r="D24" s="3"/>
      <c r="E24" s="6"/>
      <c r="F24" s="9"/>
      <c r="I24" s="32"/>
      <c r="J24" s="33"/>
    </row>
    <row r="25" spans="2:10" ht="30" customHeight="1">
      <c r="B25" s="5"/>
      <c r="C25" s="6"/>
      <c r="D25" s="3"/>
      <c r="E25" s="6"/>
      <c r="F25" s="38"/>
      <c r="I25" s="32"/>
      <c r="J25" s="33"/>
    </row>
    <row r="26" spans="2:10" ht="30" customHeight="1">
      <c r="B26" s="5"/>
      <c r="C26" s="6"/>
      <c r="D26" s="3"/>
      <c r="E26" s="6"/>
      <c r="F26" s="55"/>
      <c r="I26" s="32"/>
      <c r="J26" s="33"/>
    </row>
    <row r="27" spans="2:10" ht="30" customHeight="1">
      <c r="B27" s="5"/>
      <c r="C27" s="6"/>
      <c r="D27" s="3"/>
      <c r="E27" s="6"/>
      <c r="F27" s="68"/>
      <c r="I27" s="32"/>
      <c r="J27" s="33"/>
    </row>
    <row r="28" spans="2:10" ht="30" customHeight="1">
      <c r="B28" s="5"/>
      <c r="C28" s="6"/>
      <c r="D28" s="37"/>
      <c r="E28" s="6"/>
      <c r="F28" s="9"/>
      <c r="I28" s="32"/>
      <c r="J28" s="33"/>
    </row>
    <row r="29" spans="2:10" ht="30" customHeight="1">
      <c r="B29" s="5"/>
      <c r="C29" s="6"/>
      <c r="D29" s="4"/>
      <c r="E29" s="6"/>
      <c r="F29" s="9"/>
      <c r="I29" s="32"/>
      <c r="J29" s="33"/>
    </row>
    <row r="30" spans="2:10" ht="30" customHeight="1">
      <c r="B30" s="5"/>
      <c r="C30" s="6"/>
      <c r="D30" s="3"/>
      <c r="E30" s="6"/>
      <c r="F30" s="38"/>
      <c r="I30" s="32"/>
      <c r="J30" s="33"/>
    </row>
    <row r="31" spans="2:10" ht="30" customHeight="1" thickBot="1">
      <c r="B31" s="43"/>
      <c r="C31" s="44"/>
      <c r="D31" s="45"/>
      <c r="E31" s="44"/>
      <c r="F31" s="46"/>
      <c r="I31" s="32"/>
      <c r="J31" s="33"/>
    </row>
    <row r="33" spans="9:10" ht="13.5">
      <c r="I33" s="2" t="s">
        <v>66</v>
      </c>
      <c r="J33" s="47">
        <f>SUM(J14:J32)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mergeCells count="2">
    <mergeCell ref="B4:D4"/>
    <mergeCell ref="B15:D15"/>
  </mergeCells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1129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121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82</v>
      </c>
      <c r="E7" s="6" t="s">
        <v>97</v>
      </c>
      <c r="F7" s="36">
        <f>(0.3+0.4)*(0.3+0.4)*0.5*2*10</f>
        <v>4.8999999999999995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99</v>
      </c>
      <c r="E8" s="6" t="s">
        <v>97</v>
      </c>
      <c r="F8" s="34">
        <f>4.9-1</f>
        <v>3.9000000000000004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98</v>
      </c>
      <c r="E9" s="6" t="s">
        <v>97</v>
      </c>
      <c r="F9" s="36">
        <f>(0.4*0.4*0.1+0.3*0.3*0.4)*2*10</f>
        <v>1.04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83</v>
      </c>
      <c r="E10" s="6" t="s">
        <v>393</v>
      </c>
      <c r="F10" s="36">
        <f>0.4*0.4*2*10</f>
        <v>3.2000000000000006</v>
      </c>
      <c r="I10" s="32"/>
      <c r="J10" s="33"/>
    </row>
    <row r="11" spans="2:10" ht="30" customHeight="1">
      <c r="B11" s="5" t="s">
        <v>291</v>
      </c>
      <c r="C11" s="6" t="s">
        <v>292</v>
      </c>
      <c r="D11" s="35" t="s">
        <v>83</v>
      </c>
      <c r="E11" s="6" t="s">
        <v>393</v>
      </c>
      <c r="F11" s="9">
        <f>0.4*0.4*2*10</f>
        <v>3.2000000000000006</v>
      </c>
      <c r="I11" s="32"/>
      <c r="J11" s="33"/>
    </row>
    <row r="12" spans="2:10" ht="30" customHeight="1">
      <c r="B12" s="5" t="s">
        <v>320</v>
      </c>
      <c r="C12" s="6">
        <v>0</v>
      </c>
      <c r="D12" s="37" t="s">
        <v>101</v>
      </c>
      <c r="E12" s="6" t="s">
        <v>393</v>
      </c>
      <c r="F12" s="9">
        <f>0.3*0.4*4*2*10</f>
        <v>9.6</v>
      </c>
      <c r="I12" s="32"/>
      <c r="J12" s="33"/>
    </row>
    <row r="13" spans="2:10" ht="30" customHeight="1">
      <c r="B13" s="5" t="s">
        <v>294</v>
      </c>
      <c r="C13" s="6" t="s">
        <v>295</v>
      </c>
      <c r="D13" s="37" t="s">
        <v>100</v>
      </c>
      <c r="E13" s="6" t="s">
        <v>97</v>
      </c>
      <c r="F13" s="38">
        <f>(0.3*0.3*0.4-0.0605*0.0605*3.14/4*0.2)*2*10</f>
        <v>0.708506815</v>
      </c>
      <c r="I13" s="32"/>
      <c r="J13" s="33"/>
    </row>
    <row r="14" spans="2:10" ht="30" customHeight="1">
      <c r="B14" s="5" t="s">
        <v>298</v>
      </c>
      <c r="C14" s="6">
        <v>0</v>
      </c>
      <c r="D14" s="10">
        <v>10</v>
      </c>
      <c r="E14" s="6" t="s">
        <v>396</v>
      </c>
      <c r="F14" s="9">
        <f>10</f>
        <v>10</v>
      </c>
      <c r="I14" s="32"/>
      <c r="J14" s="33"/>
    </row>
    <row r="15" spans="2:10" ht="30" customHeight="1">
      <c r="B15" s="5"/>
      <c r="C15" s="6"/>
      <c r="D15" s="4"/>
      <c r="E15" s="6"/>
      <c r="F15" s="36"/>
      <c r="I15" s="32"/>
      <c r="J15" s="33"/>
    </row>
    <row r="16" spans="2:10" ht="30" customHeight="1">
      <c r="B16" s="97" t="s">
        <v>122</v>
      </c>
      <c r="C16" s="98"/>
      <c r="D16" s="10"/>
      <c r="E16" s="6"/>
      <c r="F16" s="36"/>
      <c r="I16" s="32"/>
      <c r="J16" s="33"/>
    </row>
    <row r="17" spans="2:10" ht="30" customHeight="1">
      <c r="B17" s="5" t="s">
        <v>321</v>
      </c>
      <c r="C17" s="6" t="s">
        <v>297</v>
      </c>
      <c r="D17" s="37" t="s">
        <v>123</v>
      </c>
      <c r="E17" s="6" t="s">
        <v>97</v>
      </c>
      <c r="F17" s="38">
        <f>(0.08*0.08*3.14/4*0.2-0.0605*0.0605*3.14/4*0.2)*10</f>
        <v>0.004301407500000002</v>
      </c>
      <c r="I17" s="32"/>
      <c r="J17" s="33"/>
    </row>
    <row r="18" spans="2:10" ht="30" customHeight="1">
      <c r="B18" s="5"/>
      <c r="C18" s="6"/>
      <c r="D18" s="10"/>
      <c r="E18" s="6"/>
      <c r="F18" s="40"/>
      <c r="I18" s="32"/>
      <c r="J18" s="33"/>
    </row>
    <row r="19" spans="2:10" ht="30" customHeight="1">
      <c r="B19" s="5"/>
      <c r="C19" s="6"/>
      <c r="D19" s="10"/>
      <c r="E19" s="6"/>
      <c r="F19" s="40"/>
      <c r="I19" s="32"/>
      <c r="J19" s="33"/>
    </row>
    <row r="20" spans="2:10" ht="30" customHeight="1">
      <c r="B20" s="5"/>
      <c r="C20" s="6"/>
      <c r="D20" s="10"/>
      <c r="E20" s="6"/>
      <c r="F20" s="11"/>
      <c r="I20" s="32"/>
      <c r="J20" s="33"/>
    </row>
    <row r="21" spans="2:10" ht="30" customHeight="1">
      <c r="B21" s="5"/>
      <c r="C21" s="6"/>
      <c r="D21" s="37"/>
      <c r="E21" s="13"/>
      <c r="F21" s="38"/>
      <c r="I21" s="32"/>
      <c r="J21" s="33"/>
    </row>
    <row r="22" spans="2:10" ht="30" customHeight="1">
      <c r="B22" s="5"/>
      <c r="C22" s="6"/>
      <c r="D22" s="12"/>
      <c r="E22" s="13"/>
      <c r="F22" s="9"/>
      <c r="I22" s="32"/>
      <c r="J22" s="33"/>
    </row>
    <row r="23" spans="2:10" ht="30" customHeight="1">
      <c r="B23" s="5"/>
      <c r="C23" s="6"/>
      <c r="D23" s="10"/>
      <c r="E23" s="13"/>
      <c r="F23" s="55"/>
      <c r="I23" s="32"/>
      <c r="J23" s="33"/>
    </row>
    <row r="24" spans="2:10" ht="30" customHeight="1">
      <c r="B24" s="5"/>
      <c r="C24" s="6"/>
      <c r="D24" s="10"/>
      <c r="E24" s="13"/>
      <c r="F24" s="11"/>
      <c r="I24" s="32"/>
      <c r="J24" s="33"/>
    </row>
    <row r="25" spans="2:10" ht="30" customHeight="1">
      <c r="B25" s="5"/>
      <c r="C25" s="6"/>
      <c r="D25" s="37"/>
      <c r="E25" s="13"/>
      <c r="F25" s="36"/>
      <c r="I25" s="32"/>
      <c r="J25" s="33"/>
    </row>
    <row r="26" spans="2:10" ht="30" customHeight="1">
      <c r="B26" s="5"/>
      <c r="C26" s="6"/>
      <c r="D26" s="37"/>
      <c r="E26" s="13"/>
      <c r="F26" s="36"/>
      <c r="I26" s="32"/>
      <c r="J26" s="33"/>
    </row>
    <row r="27" spans="2:10" ht="30" customHeight="1">
      <c r="B27" s="5"/>
      <c r="C27" s="6"/>
      <c r="D27" s="37"/>
      <c r="E27" s="6"/>
      <c r="F27" s="41"/>
      <c r="I27" s="32"/>
      <c r="J27" s="33"/>
    </row>
    <row r="28" spans="2:10" ht="30" customHeight="1">
      <c r="B28" s="5"/>
      <c r="C28" s="6"/>
      <c r="D28" s="12"/>
      <c r="E28" s="13"/>
      <c r="F28" s="9"/>
      <c r="I28" s="32"/>
      <c r="J28" s="33"/>
    </row>
    <row r="29" spans="2:10" ht="30" customHeight="1" thickBot="1">
      <c r="B29" s="43"/>
      <c r="C29" s="44"/>
      <c r="D29" s="45"/>
      <c r="E29" s="44"/>
      <c r="F29" s="46"/>
      <c r="I29" s="32"/>
      <c r="J29" s="33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mergeCells count="1">
    <mergeCell ref="B16:C16"/>
  </mergeCells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210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121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298</v>
      </c>
      <c r="C7" s="6">
        <v>0</v>
      </c>
      <c r="D7" s="10">
        <v>10</v>
      </c>
      <c r="E7" s="6" t="s">
        <v>396</v>
      </c>
      <c r="F7" s="9">
        <f>10</f>
        <v>10</v>
      </c>
      <c r="I7" s="32"/>
      <c r="J7" s="33"/>
    </row>
    <row r="8" spans="2:10" ht="30" customHeight="1">
      <c r="B8" s="5"/>
      <c r="C8" s="6"/>
      <c r="D8" s="4"/>
      <c r="E8" s="6"/>
      <c r="F8" s="36"/>
      <c r="I8" s="32"/>
      <c r="J8" s="33"/>
    </row>
    <row r="9" spans="2:10" ht="30" customHeight="1">
      <c r="B9" s="5"/>
      <c r="C9" s="6"/>
      <c r="D9" s="10"/>
      <c r="E9" s="6"/>
      <c r="F9" s="36"/>
      <c r="I9" s="32"/>
      <c r="J9" s="33"/>
    </row>
    <row r="10" spans="2:10" ht="30" customHeight="1">
      <c r="B10" s="97" t="s">
        <v>124</v>
      </c>
      <c r="C10" s="98"/>
      <c r="D10" s="10"/>
      <c r="E10" s="6"/>
      <c r="F10" s="36"/>
      <c r="I10" s="32"/>
      <c r="J10" s="33"/>
    </row>
    <row r="11" spans="2:10" ht="30" customHeight="1">
      <c r="B11" s="5" t="s">
        <v>286</v>
      </c>
      <c r="C11" s="6">
        <v>0</v>
      </c>
      <c r="D11" s="3" t="s">
        <v>125</v>
      </c>
      <c r="E11" s="6" t="s">
        <v>97</v>
      </c>
      <c r="F11" s="36">
        <f>((0.3+0.4)*(0.3+0.4)*0.5)*10</f>
        <v>2.4499999999999997</v>
      </c>
      <c r="I11" s="32"/>
      <c r="J11" s="33"/>
    </row>
    <row r="12" spans="2:10" ht="30" customHeight="1">
      <c r="B12" s="5" t="s">
        <v>287</v>
      </c>
      <c r="C12" s="6" t="s">
        <v>288</v>
      </c>
      <c r="D12" s="3" t="s">
        <v>129</v>
      </c>
      <c r="E12" s="6" t="s">
        <v>97</v>
      </c>
      <c r="F12" s="34">
        <f>2.5-0.5</f>
        <v>2</v>
      </c>
      <c r="I12" s="32"/>
      <c r="J12" s="33"/>
    </row>
    <row r="13" spans="2:10" ht="30" customHeight="1">
      <c r="B13" s="5" t="s">
        <v>289</v>
      </c>
      <c r="C13" s="6">
        <v>0</v>
      </c>
      <c r="D13" s="3" t="s">
        <v>126</v>
      </c>
      <c r="E13" s="6" t="s">
        <v>97</v>
      </c>
      <c r="F13" s="36">
        <f>(0.4*0.4*0.1+0.3*0.3*0.4)*10</f>
        <v>0.52</v>
      </c>
      <c r="I13" s="32"/>
      <c r="J13" s="33"/>
    </row>
    <row r="14" spans="2:10" ht="30" customHeight="1">
      <c r="B14" s="5" t="s">
        <v>290</v>
      </c>
      <c r="C14" s="6">
        <v>0</v>
      </c>
      <c r="D14" s="3" t="s">
        <v>2</v>
      </c>
      <c r="E14" s="6" t="s">
        <v>393</v>
      </c>
      <c r="F14" s="36">
        <f>0.4*0.4*10</f>
        <v>1.6000000000000003</v>
      </c>
      <c r="I14" s="32"/>
      <c r="J14" s="33"/>
    </row>
    <row r="15" spans="2:10" ht="30" customHeight="1">
      <c r="B15" s="5" t="s">
        <v>291</v>
      </c>
      <c r="C15" s="6" t="s">
        <v>292</v>
      </c>
      <c r="D15" s="35" t="s">
        <v>2</v>
      </c>
      <c r="E15" s="6" t="s">
        <v>393</v>
      </c>
      <c r="F15" s="9">
        <f>0.4*0.4*10</f>
        <v>1.6000000000000003</v>
      </c>
      <c r="I15" s="32"/>
      <c r="J15" s="33"/>
    </row>
    <row r="16" spans="2:10" ht="30" customHeight="1">
      <c r="B16" s="5" t="s">
        <v>320</v>
      </c>
      <c r="C16" s="6">
        <v>0</v>
      </c>
      <c r="D16" s="37" t="s">
        <v>127</v>
      </c>
      <c r="E16" s="6" t="s">
        <v>393</v>
      </c>
      <c r="F16" s="9">
        <f>0.3*0.4*4*10</f>
        <v>4.8</v>
      </c>
      <c r="I16" s="32"/>
      <c r="J16" s="33"/>
    </row>
    <row r="17" spans="2:10" ht="30" customHeight="1">
      <c r="B17" s="5" t="s">
        <v>294</v>
      </c>
      <c r="C17" s="6" t="s">
        <v>295</v>
      </c>
      <c r="D17" s="37" t="s">
        <v>128</v>
      </c>
      <c r="E17" s="6" t="s">
        <v>97</v>
      </c>
      <c r="F17" s="38">
        <f>(0.3*0.3*0.4-0.0605*0.0605*3.14/4*0.2)*10</f>
        <v>0.3542534075</v>
      </c>
      <c r="I17" s="32"/>
      <c r="J17" s="33"/>
    </row>
    <row r="18" spans="2:10" ht="30" customHeight="1">
      <c r="B18" s="5"/>
      <c r="C18" s="6"/>
      <c r="D18" s="10"/>
      <c r="E18" s="6"/>
      <c r="F18" s="36"/>
      <c r="I18" s="32"/>
      <c r="J18" s="33"/>
    </row>
    <row r="19" spans="2:10" ht="30" customHeight="1">
      <c r="B19" s="5"/>
      <c r="C19" s="6"/>
      <c r="D19" s="10"/>
      <c r="E19" s="6"/>
      <c r="F19" s="40"/>
      <c r="I19" s="32"/>
      <c r="J19" s="33"/>
    </row>
    <row r="20" spans="2:10" ht="30" customHeight="1">
      <c r="B20" s="5"/>
      <c r="C20" s="6"/>
      <c r="D20" s="10"/>
      <c r="E20" s="6"/>
      <c r="F20" s="40"/>
      <c r="I20" s="32"/>
      <c r="J20" s="33"/>
    </row>
    <row r="21" spans="2:10" ht="30" customHeight="1">
      <c r="B21" s="5"/>
      <c r="C21" s="6"/>
      <c r="D21" s="10"/>
      <c r="E21" s="6"/>
      <c r="F21" s="11"/>
      <c r="I21" s="32"/>
      <c r="J21" s="33"/>
    </row>
    <row r="22" spans="2:10" ht="30" customHeight="1">
      <c r="B22" s="5"/>
      <c r="C22" s="6"/>
      <c r="D22" s="12"/>
      <c r="E22" s="13"/>
      <c r="F22" s="9"/>
      <c r="I22" s="32"/>
      <c r="J22" s="33"/>
    </row>
    <row r="23" spans="2:10" ht="30" customHeight="1">
      <c r="B23" s="5"/>
      <c r="C23" s="6"/>
      <c r="D23" s="10"/>
      <c r="E23" s="13"/>
      <c r="F23" s="55"/>
      <c r="I23" s="32"/>
      <c r="J23" s="33"/>
    </row>
    <row r="24" spans="2:10" ht="30" customHeight="1">
      <c r="B24" s="5"/>
      <c r="C24" s="6"/>
      <c r="D24" s="10"/>
      <c r="E24" s="13"/>
      <c r="F24" s="11"/>
      <c r="I24" s="32"/>
      <c r="J24" s="33"/>
    </row>
    <row r="25" spans="2:10" ht="30" customHeight="1">
      <c r="B25" s="5"/>
      <c r="C25" s="6"/>
      <c r="D25" s="37"/>
      <c r="E25" s="13"/>
      <c r="F25" s="36"/>
      <c r="I25" s="32"/>
      <c r="J25" s="33"/>
    </row>
    <row r="26" spans="2:10" ht="30" customHeight="1">
      <c r="B26" s="5"/>
      <c r="C26" s="6"/>
      <c r="D26" s="37"/>
      <c r="E26" s="13"/>
      <c r="F26" s="36"/>
      <c r="I26" s="32"/>
      <c r="J26" s="33"/>
    </row>
    <row r="27" spans="2:10" ht="30" customHeight="1">
      <c r="B27" s="5"/>
      <c r="C27" s="6"/>
      <c r="D27" s="37"/>
      <c r="E27" s="6"/>
      <c r="F27" s="41"/>
      <c r="I27" s="32"/>
      <c r="J27" s="33"/>
    </row>
    <row r="28" spans="2:10" ht="30" customHeight="1">
      <c r="B28" s="5"/>
      <c r="C28" s="6"/>
      <c r="D28" s="12"/>
      <c r="E28" s="13"/>
      <c r="F28" s="9"/>
      <c r="I28" s="32"/>
      <c r="J28" s="33"/>
    </row>
    <row r="29" spans="2:10" ht="30" customHeight="1" thickBot="1">
      <c r="B29" s="43"/>
      <c r="C29" s="44"/>
      <c r="D29" s="45"/>
      <c r="E29" s="44"/>
      <c r="F29" s="46"/>
      <c r="I29" s="32"/>
      <c r="J29" s="33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mergeCells count="1">
    <mergeCell ref="B10:C10"/>
  </mergeCells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201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18</v>
      </c>
      <c r="F4" s="8" t="s">
        <v>72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315</v>
      </c>
      <c r="C7" s="6" t="s">
        <v>316</v>
      </c>
      <c r="D7" s="3" t="s">
        <v>77</v>
      </c>
      <c r="E7" s="6" t="s">
        <v>398</v>
      </c>
      <c r="F7" s="36">
        <f>18/1.8+18/3.6</f>
        <v>15</v>
      </c>
      <c r="I7" s="32"/>
      <c r="J7" s="33"/>
    </row>
    <row r="8" spans="2:10" ht="30" customHeight="1">
      <c r="B8" s="5" t="s">
        <v>317</v>
      </c>
      <c r="C8" s="6" t="s">
        <v>318</v>
      </c>
      <c r="D8" s="3" t="s">
        <v>78</v>
      </c>
      <c r="E8" s="6" t="s">
        <v>399</v>
      </c>
      <c r="F8" s="34">
        <f>(1.8*4+2.34*2)*10*0.0417*1.035</f>
        <v>5.1273485999999995</v>
      </c>
      <c r="I8" s="32"/>
      <c r="J8" s="33"/>
    </row>
    <row r="9" spans="2:10" ht="30" customHeight="1">
      <c r="B9" s="5" t="s">
        <v>319</v>
      </c>
      <c r="C9" s="6">
        <v>0</v>
      </c>
      <c r="D9" s="3" t="s">
        <v>76</v>
      </c>
      <c r="E9" s="6" t="s">
        <v>400</v>
      </c>
      <c r="F9" s="36">
        <v>1</v>
      </c>
      <c r="I9" s="32"/>
      <c r="J9" s="33"/>
    </row>
    <row r="10" spans="2:10" ht="30" customHeight="1">
      <c r="B10" s="5"/>
      <c r="C10" s="6"/>
      <c r="D10" s="3"/>
      <c r="E10" s="6"/>
      <c r="F10" s="36"/>
      <c r="I10" s="32"/>
      <c r="J10" s="33"/>
    </row>
    <row r="11" spans="2:10" ht="30" customHeight="1">
      <c r="B11" s="5"/>
      <c r="C11" s="6"/>
      <c r="D11" s="35"/>
      <c r="E11" s="6"/>
      <c r="F11" s="9"/>
      <c r="I11" s="32"/>
      <c r="J11" s="33"/>
    </row>
    <row r="12" spans="2:10" ht="30" customHeight="1">
      <c r="B12" s="5"/>
      <c r="C12" s="6"/>
      <c r="D12" s="37"/>
      <c r="E12" s="6"/>
      <c r="F12" s="38"/>
      <c r="I12" s="32"/>
      <c r="J12" s="33"/>
    </row>
    <row r="13" spans="2:10" ht="30" customHeight="1">
      <c r="B13" s="5"/>
      <c r="C13" s="6"/>
      <c r="D13" s="37"/>
      <c r="E13" s="6"/>
      <c r="F13" s="40"/>
      <c r="I13" s="32"/>
      <c r="J13" s="33"/>
    </row>
    <row r="14" spans="2:10" ht="30" customHeight="1">
      <c r="B14" s="5"/>
      <c r="C14" s="6"/>
      <c r="D14" s="35"/>
      <c r="E14" s="6"/>
      <c r="F14" s="53"/>
      <c r="I14" s="32"/>
      <c r="J14" s="33"/>
    </row>
    <row r="15" spans="2:10" ht="30" customHeight="1">
      <c r="B15" s="5"/>
      <c r="C15" s="6"/>
      <c r="D15" s="39"/>
      <c r="E15" s="6"/>
      <c r="F15" s="56"/>
      <c r="I15" s="32"/>
      <c r="J15" s="33"/>
    </row>
    <row r="16" spans="2:10" ht="30" customHeight="1">
      <c r="B16" s="5"/>
      <c r="C16" s="6"/>
      <c r="D16" s="4"/>
      <c r="E16" s="6"/>
      <c r="F16" s="56"/>
      <c r="I16" s="32"/>
      <c r="J16" s="33"/>
    </row>
    <row r="17" spans="2:10" ht="30" customHeight="1">
      <c r="B17" s="5"/>
      <c r="C17" s="6"/>
      <c r="D17" s="10"/>
      <c r="E17" s="6"/>
      <c r="F17" s="53"/>
      <c r="I17" s="32"/>
      <c r="J17" s="33"/>
    </row>
    <row r="18" spans="2:10" ht="30" customHeight="1">
      <c r="B18" s="5"/>
      <c r="C18" s="6"/>
      <c r="D18" s="10"/>
      <c r="E18" s="6"/>
      <c r="F18" s="53"/>
      <c r="I18" s="32"/>
      <c r="J18" s="33"/>
    </row>
    <row r="19" spans="2:10" ht="30" customHeight="1">
      <c r="B19" s="5"/>
      <c r="C19" s="6"/>
      <c r="D19" s="10"/>
      <c r="E19" s="6"/>
      <c r="F19" s="54"/>
      <c r="I19" s="32"/>
      <c r="J19" s="33"/>
    </row>
    <row r="20" spans="2:10" ht="30" customHeight="1">
      <c r="B20" s="5"/>
      <c r="C20" s="6"/>
      <c r="D20" s="10"/>
      <c r="E20" s="6"/>
      <c r="F20" s="54"/>
      <c r="I20" s="32"/>
      <c r="J20" s="33"/>
    </row>
    <row r="21" spans="2:10" ht="30" customHeight="1">
      <c r="B21" s="5"/>
      <c r="C21" s="6"/>
      <c r="D21" s="10"/>
      <c r="E21" s="6"/>
      <c r="F21" s="11"/>
      <c r="I21" s="32"/>
      <c r="J21" s="33"/>
    </row>
    <row r="22" spans="2:10" ht="39" customHeight="1">
      <c r="B22" s="5"/>
      <c r="C22" s="6"/>
      <c r="D22" s="37"/>
      <c r="E22" s="13"/>
      <c r="F22" s="38"/>
      <c r="I22" s="32"/>
      <c r="J22" s="33"/>
    </row>
    <row r="23" spans="2:10" ht="30" customHeight="1">
      <c r="B23" s="5"/>
      <c r="C23" s="6"/>
      <c r="D23" s="12"/>
      <c r="E23" s="13"/>
      <c r="F23" s="9"/>
      <c r="I23" s="32"/>
      <c r="J23" s="33"/>
    </row>
    <row r="24" spans="2:10" ht="30" customHeight="1">
      <c r="B24" s="5"/>
      <c r="C24" s="6"/>
      <c r="D24" s="10"/>
      <c r="E24" s="13"/>
      <c r="F24" s="55"/>
      <c r="I24" s="32"/>
      <c r="J24" s="33"/>
    </row>
    <row r="25" spans="2:10" ht="30" customHeight="1">
      <c r="B25" s="5"/>
      <c r="C25" s="6"/>
      <c r="D25" s="10"/>
      <c r="E25" s="13"/>
      <c r="F25" s="11"/>
      <c r="I25" s="32"/>
      <c r="J25" s="33"/>
    </row>
    <row r="26" spans="2:10" ht="30" customHeight="1">
      <c r="B26" s="5"/>
      <c r="C26" s="6"/>
      <c r="D26" s="37"/>
      <c r="E26" s="13"/>
      <c r="F26" s="36"/>
      <c r="I26" s="32"/>
      <c r="J26" s="33"/>
    </row>
    <row r="27" spans="2:10" ht="30" customHeight="1">
      <c r="B27" s="5"/>
      <c r="C27" s="6"/>
      <c r="D27" s="37"/>
      <c r="E27" s="6"/>
      <c r="F27" s="41"/>
      <c r="I27" s="32"/>
      <c r="J27" s="33"/>
    </row>
    <row r="28" spans="2:10" ht="30" customHeight="1">
      <c r="B28" s="5"/>
      <c r="C28" s="6"/>
      <c r="D28" s="12"/>
      <c r="E28" s="13"/>
      <c r="F28" s="9"/>
      <c r="I28" s="32"/>
      <c r="J28" s="33"/>
    </row>
    <row r="29" spans="2:10" ht="30" customHeight="1" thickBot="1">
      <c r="B29" s="43"/>
      <c r="C29" s="44"/>
      <c r="D29" s="45"/>
      <c r="E29" s="44"/>
      <c r="F29" s="46"/>
      <c r="I29" s="32"/>
      <c r="J29" s="33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202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70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151</v>
      </c>
      <c r="E7" s="6" t="s">
        <v>97</v>
      </c>
      <c r="F7" s="36">
        <f>(0.6+0.4)*(0.1+0.4)*0.5*10/1.5</f>
        <v>1.6666666666666667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153</v>
      </c>
      <c r="E8" s="6" t="s">
        <v>97</v>
      </c>
      <c r="F8" s="34">
        <f>1.7-0.1</f>
        <v>1.5999999999999999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152</v>
      </c>
      <c r="E9" s="6" t="s">
        <v>97</v>
      </c>
      <c r="F9" s="36">
        <f>0.1*0.1*3.14/4*(0.6+0.5)*10/1.5</f>
        <v>0.05756666666666668</v>
      </c>
      <c r="I9" s="32"/>
      <c r="J9" s="33"/>
    </row>
    <row r="10" spans="2:10" ht="30" customHeight="1">
      <c r="B10" s="5" t="s">
        <v>313</v>
      </c>
      <c r="C10" s="6" t="s">
        <v>314</v>
      </c>
      <c r="D10" s="3">
        <v>10</v>
      </c>
      <c r="E10" s="6" t="s">
        <v>397</v>
      </c>
      <c r="F10" s="9">
        <f>10</f>
        <v>10</v>
      </c>
      <c r="I10" s="32"/>
      <c r="J10" s="33"/>
    </row>
    <row r="11" spans="2:10" ht="30" customHeight="1">
      <c r="B11" s="5"/>
      <c r="C11" s="6"/>
      <c r="D11" s="3"/>
      <c r="E11" s="6"/>
      <c r="F11" s="9"/>
      <c r="I11" s="32"/>
      <c r="J11" s="33"/>
    </row>
    <row r="12" spans="2:10" ht="30" customHeight="1">
      <c r="B12" s="5"/>
      <c r="C12" s="6"/>
      <c r="D12" s="35"/>
      <c r="E12" s="6"/>
      <c r="F12" s="9"/>
      <c r="I12" s="32"/>
      <c r="J12" s="33"/>
    </row>
    <row r="13" spans="2:10" ht="30" customHeight="1">
      <c r="B13" s="5"/>
      <c r="C13" s="6"/>
      <c r="D13" s="37"/>
      <c r="E13" s="6"/>
      <c r="F13" s="57"/>
      <c r="I13" s="32"/>
      <c r="J13" s="33"/>
    </row>
    <row r="14" spans="2:10" ht="30" customHeight="1">
      <c r="B14" s="5"/>
      <c r="C14" s="6"/>
      <c r="D14" s="37"/>
      <c r="E14" s="6"/>
      <c r="F14" s="57"/>
      <c r="I14" s="32"/>
      <c r="J14" s="33"/>
    </row>
    <row r="15" spans="2:10" ht="30" customHeight="1">
      <c r="B15" s="5"/>
      <c r="C15" s="6"/>
      <c r="D15" s="35"/>
      <c r="E15" s="6"/>
      <c r="F15" s="58"/>
      <c r="I15" s="32"/>
      <c r="J15" s="33"/>
    </row>
    <row r="16" spans="2:10" ht="30" customHeight="1">
      <c r="B16" s="5"/>
      <c r="C16" s="6"/>
      <c r="D16" s="39"/>
      <c r="E16" s="6"/>
      <c r="F16" s="59"/>
      <c r="I16" s="32"/>
      <c r="J16" s="33"/>
    </row>
    <row r="17" spans="2:10" ht="30" customHeight="1">
      <c r="B17" s="5"/>
      <c r="C17" s="6"/>
      <c r="D17" s="4"/>
      <c r="E17" s="6"/>
      <c r="F17" s="56"/>
      <c r="I17" s="32"/>
      <c r="J17" s="33"/>
    </row>
    <row r="18" spans="2:10" ht="30" customHeight="1">
      <c r="B18" s="5"/>
      <c r="C18" s="6"/>
      <c r="D18" s="10"/>
      <c r="E18" s="6"/>
      <c r="F18" s="53"/>
      <c r="I18" s="32"/>
      <c r="J18" s="33"/>
    </row>
    <row r="19" spans="2:10" ht="30" customHeight="1">
      <c r="B19" s="5"/>
      <c r="C19" s="6"/>
      <c r="D19" s="10"/>
      <c r="E19" s="6"/>
      <c r="F19" s="60"/>
      <c r="I19" s="32"/>
      <c r="J19" s="33"/>
    </row>
    <row r="20" spans="2:10" ht="30" customHeight="1">
      <c r="B20" s="5"/>
      <c r="C20" s="6"/>
      <c r="D20" s="10"/>
      <c r="E20" s="6"/>
      <c r="F20" s="54"/>
      <c r="I20" s="32"/>
      <c r="J20" s="33"/>
    </row>
    <row r="21" spans="2:10" ht="30" customHeight="1">
      <c r="B21" s="5"/>
      <c r="C21" s="6"/>
      <c r="D21" s="10"/>
      <c r="E21" s="6"/>
      <c r="F21" s="55"/>
      <c r="I21" s="32"/>
      <c r="J21" s="33"/>
    </row>
    <row r="22" spans="2:10" ht="30" customHeight="1">
      <c r="B22" s="42"/>
      <c r="C22" s="6"/>
      <c r="D22" s="12"/>
      <c r="E22" s="13"/>
      <c r="F22" s="38"/>
      <c r="I22" s="32"/>
      <c r="J22" s="33"/>
    </row>
    <row r="23" spans="2:10" ht="30" customHeight="1">
      <c r="B23" s="5"/>
      <c r="C23" s="6"/>
      <c r="D23" s="37"/>
      <c r="E23" s="6"/>
      <c r="F23" s="55"/>
      <c r="I23" s="32"/>
      <c r="J23" s="33"/>
    </row>
    <row r="24" spans="2:10" ht="30" customHeight="1">
      <c r="B24" s="42"/>
      <c r="C24" s="6"/>
      <c r="D24" s="12"/>
      <c r="E24" s="13"/>
      <c r="F24" s="38"/>
      <c r="I24" s="32"/>
      <c r="J24" s="33"/>
    </row>
    <row r="25" spans="2:10" ht="30" customHeight="1">
      <c r="B25" s="5"/>
      <c r="C25" s="6"/>
      <c r="D25" s="10"/>
      <c r="E25" s="6"/>
      <c r="F25" s="55"/>
      <c r="I25" s="32"/>
      <c r="J25" s="33"/>
    </row>
    <row r="26" spans="2:10" ht="30" customHeight="1">
      <c r="B26" s="42"/>
      <c r="C26" s="6"/>
      <c r="D26" s="12"/>
      <c r="E26" s="13"/>
      <c r="F26" s="9"/>
      <c r="I26" s="32"/>
      <c r="J26" s="33"/>
    </row>
    <row r="27" spans="2:10" ht="30" customHeight="1">
      <c r="B27" s="5"/>
      <c r="C27" s="6"/>
      <c r="D27" s="37"/>
      <c r="E27" s="6"/>
      <c r="F27" s="41"/>
      <c r="I27" s="32"/>
      <c r="J27" s="33"/>
    </row>
    <row r="28" spans="2:10" ht="30" customHeight="1">
      <c r="B28" s="42"/>
      <c r="C28" s="6"/>
      <c r="D28" s="12"/>
      <c r="E28" s="13"/>
      <c r="F28" s="9"/>
      <c r="I28" s="32"/>
      <c r="J28" s="33"/>
    </row>
    <row r="29" spans="2:10" ht="30" customHeight="1" thickBot="1">
      <c r="B29" s="43"/>
      <c r="C29" s="44"/>
      <c r="D29" s="45"/>
      <c r="E29" s="44"/>
      <c r="F29" s="46"/>
      <c r="I29" s="32"/>
      <c r="J29" s="33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44"/>
  <sheetViews>
    <sheetView showZeros="0" tabSelected="1" workbookViewId="0" topLeftCell="A1">
      <selection activeCell="D10" sqref="D1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1305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1309</v>
      </c>
      <c r="E7" s="6" t="s">
        <v>97</v>
      </c>
      <c r="F7" s="36">
        <f>(0.4+0.4)*(0.4+0.4)*0.55*10</f>
        <v>3.520000000000001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79</v>
      </c>
      <c r="E8" s="6" t="s">
        <v>97</v>
      </c>
      <c r="F8" s="34">
        <f>3.5-0.8</f>
        <v>2.7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80</v>
      </c>
      <c r="E9" s="6" t="s">
        <v>97</v>
      </c>
      <c r="F9" s="36">
        <f>(0.5*0.5*0.1+0.4*0.4*3.14/4*0.45)*10</f>
        <v>0.8152000000000001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81</v>
      </c>
      <c r="E10" s="6" t="s">
        <v>393</v>
      </c>
      <c r="F10" s="36">
        <f>0.5*0.5*10</f>
        <v>2.5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81</v>
      </c>
      <c r="E11" s="6" t="s">
        <v>393</v>
      </c>
      <c r="F11" s="9">
        <f>0.5*0.5*10</f>
        <v>2.5</v>
      </c>
      <c r="I11" s="32"/>
      <c r="J11" s="80"/>
    </row>
    <row r="12" spans="2:10" ht="30" customHeight="1">
      <c r="B12" s="5" t="s">
        <v>305</v>
      </c>
      <c r="C12" s="6" t="s">
        <v>310</v>
      </c>
      <c r="D12" s="37" t="s">
        <v>5</v>
      </c>
      <c r="E12" s="6" t="s">
        <v>397</v>
      </c>
      <c r="F12" s="9">
        <f>0.45*10</f>
        <v>4.5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1310</v>
      </c>
      <c r="E13" s="6" t="s">
        <v>97</v>
      </c>
      <c r="F13" s="9">
        <f>(0.4*0.4*3.14/4-0.1143*0.1143*3.14/4)*0.45*10</f>
        <v>0.519049689075</v>
      </c>
      <c r="I13" s="32"/>
      <c r="J13" s="80"/>
    </row>
    <row r="14" spans="2:10" ht="30" customHeight="1">
      <c r="B14" s="5" t="s">
        <v>307</v>
      </c>
      <c r="C14" s="6" t="s">
        <v>312</v>
      </c>
      <c r="D14" s="76">
        <v>10</v>
      </c>
      <c r="E14" s="6" t="s">
        <v>396</v>
      </c>
      <c r="F14" s="147">
        <f>10</f>
        <v>10</v>
      </c>
      <c r="I14" s="32"/>
      <c r="J14" s="80"/>
    </row>
    <row r="15" spans="2:10" ht="30" customHeight="1">
      <c r="B15" s="5"/>
      <c r="C15" s="6"/>
      <c r="D15" s="78"/>
      <c r="E15" s="6"/>
      <c r="F15" s="79"/>
      <c r="I15" s="32"/>
      <c r="J15" s="80"/>
    </row>
    <row r="16" spans="2:10" ht="30" customHeight="1">
      <c r="B16" s="5"/>
      <c r="C16" s="6"/>
      <c r="D16" s="4"/>
      <c r="E16" s="6"/>
      <c r="F16" s="79"/>
      <c r="I16" s="32"/>
      <c r="J16" s="80"/>
    </row>
    <row r="17" spans="2:10" ht="30" customHeight="1">
      <c r="B17" s="5"/>
      <c r="C17" s="6"/>
      <c r="D17" s="10"/>
      <c r="E17" s="6"/>
      <c r="F17" s="77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workbookViewId="0" topLeftCell="A13">
      <selection activeCell="B26" sqref="B26"/>
    </sheetView>
  </sheetViews>
  <sheetFormatPr defaultColWidth="9.00390625" defaultRowHeight="13.5"/>
  <cols>
    <col min="1" max="1" width="2.00390625" style="0" customWidth="1"/>
    <col min="2" max="2" width="13.50390625" style="0" customWidth="1"/>
    <col min="3" max="3" width="15.125" style="0" customWidth="1"/>
    <col min="4" max="4" width="45.125" style="0" customWidth="1"/>
    <col min="5" max="5" width="4.625" style="0" customWidth="1"/>
    <col min="6" max="6" width="12.875" style="0" customWidth="1"/>
    <col min="7" max="7" width="1.4921875" style="0" customWidth="1"/>
    <col min="8" max="8" width="5.25390625" style="0" customWidth="1"/>
    <col min="9" max="9" width="9.125" style="0" bestFit="1" customWidth="1"/>
    <col min="10" max="10" width="9.875" style="0" bestFit="1" customWidth="1"/>
  </cols>
  <sheetData>
    <row r="1" ht="27" customHeight="1" thickBot="1">
      <c r="F1" s="99" t="s">
        <v>58</v>
      </c>
    </row>
    <row r="2" spans="2:6" ht="27.75" customHeight="1">
      <c r="B2" s="100" t="s">
        <v>65</v>
      </c>
      <c r="C2" s="101"/>
      <c r="D2" s="101"/>
      <c r="E2" s="101"/>
      <c r="F2" s="102"/>
    </row>
    <row r="3" spans="1:6" ht="22.5" customHeight="1">
      <c r="A3" s="103"/>
      <c r="B3" s="104" t="s">
        <v>1203</v>
      </c>
      <c r="C3" s="105"/>
      <c r="D3" s="106"/>
      <c r="E3" s="107"/>
      <c r="F3" s="108"/>
    </row>
    <row r="4" spans="2:6" ht="1.5" customHeight="1">
      <c r="B4" s="109"/>
      <c r="C4" s="110"/>
      <c r="D4" s="110"/>
      <c r="E4" s="110"/>
      <c r="F4" s="111"/>
    </row>
    <row r="5" spans="2:6" ht="25.5" customHeight="1">
      <c r="B5" s="112"/>
      <c r="C5" s="113"/>
      <c r="D5" s="113"/>
      <c r="E5" s="7">
        <v>10</v>
      </c>
      <c r="F5" s="8" t="s">
        <v>1130</v>
      </c>
    </row>
    <row r="6" spans="2:10" ht="20.25" customHeight="1">
      <c r="B6" s="114" t="s">
        <v>59</v>
      </c>
      <c r="C6" s="115" t="s">
        <v>60</v>
      </c>
      <c r="D6" s="115" t="s">
        <v>63</v>
      </c>
      <c r="E6" s="115" t="s">
        <v>61</v>
      </c>
      <c r="F6" s="116" t="s">
        <v>62</v>
      </c>
      <c r="I6" s="117"/>
      <c r="J6" s="117"/>
    </row>
    <row r="7" spans="2:6" ht="1.5" customHeight="1">
      <c r="B7" s="118"/>
      <c r="C7" s="119"/>
      <c r="D7" s="119"/>
      <c r="E7" s="119"/>
      <c r="F7" s="120"/>
    </row>
    <row r="8" spans="2:10" ht="30" customHeight="1">
      <c r="B8" s="121" t="s">
        <v>1131</v>
      </c>
      <c r="C8" s="122"/>
      <c r="D8" s="123" t="s">
        <v>1204</v>
      </c>
      <c r="E8" s="122" t="s">
        <v>1205</v>
      </c>
      <c r="F8" s="124">
        <f>(0.79+0.4)*0.55*10</f>
        <v>6.545</v>
      </c>
      <c r="I8" s="125"/>
      <c r="J8" s="126"/>
    </row>
    <row r="9" spans="2:10" ht="30" customHeight="1">
      <c r="B9" s="121" t="s">
        <v>1134</v>
      </c>
      <c r="C9" s="127"/>
      <c r="D9" s="123" t="s">
        <v>1206</v>
      </c>
      <c r="E9" s="122" t="s">
        <v>1205</v>
      </c>
      <c r="F9" s="124">
        <f>6.5-3.7</f>
        <v>2.8</v>
      </c>
      <c r="I9" s="125"/>
      <c r="J9" s="126"/>
    </row>
    <row r="10" spans="2:10" ht="30" customHeight="1">
      <c r="B10" s="121" t="s">
        <v>1137</v>
      </c>
      <c r="C10" s="128"/>
      <c r="D10" s="123" t="s">
        <v>1207</v>
      </c>
      <c r="E10" s="122" t="s">
        <v>1205</v>
      </c>
      <c r="F10" s="124">
        <f>(0.89*0.2+0.79*0.15+0.35*0.2)*10</f>
        <v>3.665</v>
      </c>
      <c r="I10" s="125"/>
      <c r="J10" s="126"/>
    </row>
    <row r="11" spans="2:10" ht="30" customHeight="1">
      <c r="B11" s="121" t="s">
        <v>1139</v>
      </c>
      <c r="C11" s="122"/>
      <c r="D11" s="123" t="s">
        <v>1209</v>
      </c>
      <c r="E11" s="122" t="s">
        <v>1210</v>
      </c>
      <c r="F11" s="124">
        <f>0.89*10</f>
        <v>8.9</v>
      </c>
      <c r="I11" s="125"/>
      <c r="J11" s="126"/>
    </row>
    <row r="12" spans="2:10" ht="30" customHeight="1">
      <c r="B12" s="121" t="s">
        <v>1144</v>
      </c>
      <c r="C12" s="129" t="s">
        <v>1211</v>
      </c>
      <c r="D12" s="123" t="s">
        <v>1209</v>
      </c>
      <c r="E12" s="122" t="s">
        <v>1210</v>
      </c>
      <c r="F12" s="130">
        <f>0.89*10</f>
        <v>8.9</v>
      </c>
      <c r="I12" s="125"/>
      <c r="J12" s="126"/>
    </row>
    <row r="13" spans="2:10" ht="30" customHeight="1">
      <c r="B13" s="121" t="s">
        <v>1147</v>
      </c>
      <c r="C13" s="122"/>
      <c r="D13" s="123" t="s">
        <v>1213</v>
      </c>
      <c r="E13" s="122" t="s">
        <v>1210</v>
      </c>
      <c r="F13" s="130">
        <f>(0.89*0.05+0.05*10)*2</f>
        <v>1.089</v>
      </c>
      <c r="I13" s="125"/>
      <c r="J13" s="126"/>
    </row>
    <row r="14" spans="2:10" ht="30" customHeight="1">
      <c r="B14" s="121" t="s">
        <v>1149</v>
      </c>
      <c r="C14" s="131" t="s">
        <v>1214</v>
      </c>
      <c r="D14" s="123" t="s">
        <v>1216</v>
      </c>
      <c r="E14" s="122" t="s">
        <v>1217</v>
      </c>
      <c r="F14" s="130">
        <f>0.89*0.05*10</f>
        <v>0.44500000000000006</v>
      </c>
      <c r="I14" s="125"/>
      <c r="J14" s="126"/>
    </row>
    <row r="15" spans="2:10" ht="30" customHeight="1">
      <c r="B15" s="121" t="s">
        <v>1156</v>
      </c>
      <c r="C15" s="122"/>
      <c r="D15" s="123" t="s">
        <v>1219</v>
      </c>
      <c r="E15" s="122" t="s">
        <v>1217</v>
      </c>
      <c r="F15" s="130">
        <f>(0.15*0.79+0.15*10)*2</f>
        <v>3.237</v>
      </c>
      <c r="I15" s="125"/>
      <c r="J15" s="126"/>
    </row>
    <row r="16" spans="2:10" ht="30" customHeight="1">
      <c r="B16" s="121" t="s">
        <v>1220</v>
      </c>
      <c r="C16" s="131" t="s">
        <v>1222</v>
      </c>
      <c r="D16" s="123" t="s">
        <v>1224</v>
      </c>
      <c r="E16" s="122" t="s">
        <v>97</v>
      </c>
      <c r="F16" s="130">
        <f>0.79*0.15*10</f>
        <v>1.185</v>
      </c>
      <c r="I16" s="125"/>
      <c r="J16" s="126"/>
    </row>
    <row r="17" spans="2:10" ht="30" customHeight="1">
      <c r="B17" s="121" t="s">
        <v>1163</v>
      </c>
      <c r="C17" s="122"/>
      <c r="D17" s="123" t="s">
        <v>1226</v>
      </c>
      <c r="E17" s="122" t="s">
        <v>97</v>
      </c>
      <c r="F17" s="130">
        <f>0.45*0.2*10</f>
        <v>0.9000000000000001</v>
      </c>
      <c r="I17" s="125"/>
      <c r="J17" s="126"/>
    </row>
    <row r="18" spans="2:10" ht="30" customHeight="1">
      <c r="B18" s="121" t="s">
        <v>1166</v>
      </c>
      <c r="C18" s="131"/>
      <c r="D18" s="123" t="s">
        <v>1227</v>
      </c>
      <c r="E18" s="122" t="s">
        <v>97</v>
      </c>
      <c r="F18" s="130">
        <f>0.2*0.15*2+0.15*10</f>
        <v>1.56</v>
      </c>
      <c r="I18" s="125"/>
      <c r="J18" s="126"/>
    </row>
    <row r="19" spans="2:10" ht="30" customHeight="1">
      <c r="B19" s="121" t="s">
        <v>1169</v>
      </c>
      <c r="C19" s="131" t="s">
        <v>1214</v>
      </c>
      <c r="D19" s="123" t="s">
        <v>1228</v>
      </c>
      <c r="E19" s="122" t="s">
        <v>97</v>
      </c>
      <c r="F19" s="130">
        <f>0.15*0.2*10</f>
        <v>0.3</v>
      </c>
      <c r="I19" s="125"/>
      <c r="J19" s="126"/>
    </row>
    <row r="20" spans="2:10" ht="30" customHeight="1">
      <c r="B20" s="121" t="s">
        <v>1172</v>
      </c>
      <c r="C20" s="129" t="s">
        <v>1229</v>
      </c>
      <c r="D20" s="123" t="s">
        <v>1230</v>
      </c>
      <c r="E20" s="122" t="s">
        <v>1231</v>
      </c>
      <c r="F20" s="130">
        <f>1.53*25*0.995</f>
        <v>38.058749999999996</v>
      </c>
      <c r="I20" s="125"/>
      <c r="J20" s="126"/>
    </row>
    <row r="21" spans="2:10" ht="30" customHeight="1">
      <c r="B21" s="121" t="s">
        <v>1178</v>
      </c>
      <c r="C21" s="122"/>
      <c r="D21" s="123" t="s">
        <v>1233</v>
      </c>
      <c r="E21" s="122" t="s">
        <v>1231</v>
      </c>
      <c r="F21" s="130">
        <f>10*10*0.56</f>
        <v>56.00000000000001</v>
      </c>
      <c r="I21" s="125"/>
      <c r="J21" s="126"/>
    </row>
    <row r="22" spans="2:10" ht="30" customHeight="1">
      <c r="B22" s="121" t="s">
        <v>1181</v>
      </c>
      <c r="C22" s="122"/>
      <c r="D22" s="123" t="s">
        <v>1234</v>
      </c>
      <c r="E22" s="122" t="s">
        <v>1210</v>
      </c>
      <c r="F22" s="130">
        <f>0.15*10</f>
        <v>1.5</v>
      </c>
      <c r="I22" s="125"/>
      <c r="J22" s="126"/>
    </row>
    <row r="23" spans="2:10" ht="30" customHeight="1">
      <c r="B23" s="121" t="s">
        <v>1184</v>
      </c>
      <c r="C23" s="122"/>
      <c r="D23" s="123" t="s">
        <v>1236</v>
      </c>
      <c r="E23" s="122" t="s">
        <v>1237</v>
      </c>
      <c r="F23" s="130">
        <f>0.6*10/2*0.15</f>
        <v>0.44999999999999996</v>
      </c>
      <c r="I23" s="125"/>
      <c r="J23" s="126"/>
    </row>
    <row r="24" spans="2:10" ht="30" customHeight="1">
      <c r="B24" s="121" t="s">
        <v>1188</v>
      </c>
      <c r="C24" s="122"/>
      <c r="D24" s="123" t="s">
        <v>1238</v>
      </c>
      <c r="E24" s="122" t="s">
        <v>1210</v>
      </c>
      <c r="F24" s="130">
        <f>0.1*0.1*(0.6*10/2)</f>
        <v>0.030000000000000006</v>
      </c>
      <c r="I24" s="125"/>
      <c r="J24" s="126"/>
    </row>
    <row r="25" spans="2:10" ht="30" customHeight="1">
      <c r="B25" s="121" t="s">
        <v>1190</v>
      </c>
      <c r="C25" s="122"/>
      <c r="D25" s="123" t="s">
        <v>1240</v>
      </c>
      <c r="E25" s="122" t="s">
        <v>1193</v>
      </c>
      <c r="F25" s="124">
        <f>25*4</f>
        <v>100</v>
      </c>
      <c r="I25" s="125"/>
      <c r="J25" s="126"/>
    </row>
    <row r="26" spans="2:10" ht="30" customHeight="1">
      <c r="B26" s="121" t="s">
        <v>1194</v>
      </c>
      <c r="C26" s="128" t="s">
        <v>1241</v>
      </c>
      <c r="D26" s="123" t="s">
        <v>1243</v>
      </c>
      <c r="E26" s="122" t="s">
        <v>1205</v>
      </c>
      <c r="F26" s="133">
        <f>(24*0.8+10*3)*0.025*0.01+(0.11+0.15)*0.5*0.02*10</f>
        <v>0.0383</v>
      </c>
      <c r="I26" s="125"/>
      <c r="J26" s="126"/>
    </row>
    <row r="27" spans="2:10" ht="30" customHeight="1">
      <c r="B27" s="121" t="s">
        <v>1200</v>
      </c>
      <c r="C27" s="131" t="s">
        <v>1222</v>
      </c>
      <c r="D27" s="123" t="s">
        <v>1244</v>
      </c>
      <c r="E27" s="122" t="s">
        <v>1205</v>
      </c>
      <c r="F27" s="132">
        <f>0.15*0.8*10*0.586</f>
        <v>0.7031999999999999</v>
      </c>
      <c r="I27" s="125"/>
      <c r="J27" s="126"/>
    </row>
    <row r="28" spans="2:10" ht="30" customHeight="1">
      <c r="B28" s="121"/>
      <c r="C28" s="122"/>
      <c r="D28" s="123"/>
      <c r="E28" s="122"/>
      <c r="F28" s="134"/>
      <c r="I28" s="125"/>
      <c r="J28" s="126"/>
    </row>
    <row r="29" spans="2:10" ht="30" customHeight="1">
      <c r="B29" s="121"/>
      <c r="C29" s="122"/>
      <c r="D29" s="135"/>
      <c r="E29" s="122"/>
      <c r="F29" s="136"/>
      <c r="I29" s="125"/>
      <c r="J29" s="126"/>
    </row>
    <row r="30" spans="2:10" ht="30" customHeight="1" thickBot="1">
      <c r="B30" s="137"/>
      <c r="C30" s="138"/>
      <c r="D30" s="139"/>
      <c r="E30" s="138"/>
      <c r="F30" s="140"/>
      <c r="I30" s="125"/>
      <c r="J30" s="126"/>
    </row>
    <row r="32" spans="9:10" ht="13.5">
      <c r="I32" s="117"/>
      <c r="J32" s="141"/>
    </row>
    <row r="33" spans="1:4" ht="13.5">
      <c r="A33" s="107"/>
      <c r="B33" s="107"/>
      <c r="C33" s="107"/>
      <c r="D33" s="107"/>
    </row>
    <row r="34" spans="1:4" ht="13.5">
      <c r="A34" s="107"/>
      <c r="B34" s="142"/>
      <c r="C34" s="142"/>
      <c r="D34" s="107"/>
    </row>
    <row r="35" spans="1:4" ht="13.5">
      <c r="A35" s="107"/>
      <c r="B35" s="142"/>
      <c r="C35" s="142"/>
      <c r="D35" s="107"/>
    </row>
    <row r="36" spans="1:4" ht="13.5">
      <c r="A36" s="107"/>
      <c r="B36" s="142"/>
      <c r="C36" s="142"/>
      <c r="D36" s="107"/>
    </row>
    <row r="37" spans="1:4" ht="13.5">
      <c r="A37" s="107"/>
      <c r="B37" s="142"/>
      <c r="C37" s="142"/>
      <c r="D37" s="107"/>
    </row>
    <row r="38" spans="1:4" ht="13.5">
      <c r="A38" s="107"/>
      <c r="B38" s="142"/>
      <c r="C38" s="142"/>
      <c r="D38" s="107"/>
    </row>
    <row r="39" spans="1:4" ht="13.5">
      <c r="A39" s="107"/>
      <c r="B39" s="142"/>
      <c r="C39" s="142"/>
      <c r="D39" s="107"/>
    </row>
    <row r="40" spans="1:4" ht="13.5">
      <c r="A40" s="107"/>
      <c r="B40" s="142"/>
      <c r="C40" s="142"/>
      <c r="D40" s="107"/>
    </row>
    <row r="41" spans="1:4" ht="13.5">
      <c r="A41" s="107"/>
      <c r="B41" s="142"/>
      <c r="C41" s="142"/>
      <c r="D41" s="107"/>
    </row>
    <row r="42" spans="1:4" ht="13.5">
      <c r="A42" s="107"/>
      <c r="B42" s="142"/>
      <c r="C42" s="143"/>
      <c r="D42" s="107"/>
    </row>
    <row r="43" spans="1:4" ht="13.5">
      <c r="A43" s="107"/>
      <c r="B43" s="144"/>
      <c r="C43" s="142"/>
      <c r="D43" s="107"/>
    </row>
    <row r="44" spans="1:4" ht="13.5">
      <c r="A44" s="107"/>
      <c r="B44" s="142"/>
      <c r="C44" s="143"/>
      <c r="D44" s="107"/>
    </row>
    <row r="45" spans="1:4" ht="13.5">
      <c r="A45" s="107"/>
      <c r="B45" s="107"/>
      <c r="C45" s="107"/>
      <c r="D45" s="107"/>
    </row>
  </sheetData>
  <sheetProtection/>
  <mergeCells count="1">
    <mergeCell ref="B4:F4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D9" sqref="D9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1311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1309</v>
      </c>
      <c r="E7" s="6" t="s">
        <v>97</v>
      </c>
      <c r="F7" s="36">
        <f>(0.4+0.4)*(0.4+0.4)*0.55*10</f>
        <v>3.520000000000001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1312</v>
      </c>
      <c r="E8" s="6" t="s">
        <v>97</v>
      </c>
      <c r="F8" s="34">
        <f>3.5-0.8</f>
        <v>2.7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1313</v>
      </c>
      <c r="E9" s="6" t="s">
        <v>97</v>
      </c>
      <c r="F9" s="36">
        <f>(0.5*0.5*0.1+0.4*0.4*3.14/4*0.45)*10</f>
        <v>0.8152000000000001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81</v>
      </c>
      <c r="E10" s="6" t="s">
        <v>393</v>
      </c>
      <c r="F10" s="36">
        <f>0.5*0.5*10</f>
        <v>2.5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81</v>
      </c>
      <c r="E11" s="6" t="s">
        <v>393</v>
      </c>
      <c r="F11" s="9">
        <f>0.5*0.5*10</f>
        <v>2.5</v>
      </c>
      <c r="I11" s="32"/>
      <c r="J11" s="80"/>
    </row>
    <row r="12" spans="2:10" ht="30" customHeight="1">
      <c r="B12" s="5" t="s">
        <v>305</v>
      </c>
      <c r="C12" s="6" t="s">
        <v>310</v>
      </c>
      <c r="D12" s="37" t="s">
        <v>5</v>
      </c>
      <c r="E12" s="6" t="s">
        <v>397</v>
      </c>
      <c r="F12" s="9">
        <f>0.45*10</f>
        <v>4.5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1314</v>
      </c>
      <c r="E13" s="6" t="s">
        <v>97</v>
      </c>
      <c r="F13" s="9">
        <f>(0.4*0.4*3.14/4-0.1398*0.1398*3.14/4)*0.45*10</f>
        <v>0.4961606787000001</v>
      </c>
      <c r="I13" s="32"/>
      <c r="J13" s="80"/>
    </row>
    <row r="14" spans="2:10" ht="30" customHeight="1">
      <c r="B14" s="5" t="s">
        <v>1315</v>
      </c>
      <c r="C14" s="148" t="s">
        <v>1316</v>
      </c>
      <c r="D14" s="76" t="s">
        <v>1317</v>
      </c>
      <c r="E14" s="6" t="s">
        <v>97</v>
      </c>
      <c r="F14" s="81">
        <f>(0.075*0.075*3.14-0.057*0.057*3.14)*0.04*10</f>
        <v>0.0029842560000000002</v>
      </c>
      <c r="I14" s="32"/>
      <c r="J14" s="80"/>
    </row>
    <row r="15" spans="2:10" ht="30" customHeight="1">
      <c r="B15" s="5" t="s">
        <v>307</v>
      </c>
      <c r="C15" s="6" t="s">
        <v>311</v>
      </c>
      <c r="D15" s="76">
        <v>10</v>
      </c>
      <c r="E15" s="6" t="s">
        <v>396</v>
      </c>
      <c r="F15" s="147">
        <f>10</f>
        <v>10</v>
      </c>
      <c r="I15" s="32"/>
      <c r="J15" s="80"/>
    </row>
    <row r="16" spans="2:10" ht="30" customHeight="1">
      <c r="B16" s="5"/>
      <c r="C16" s="6"/>
      <c r="D16" s="4"/>
      <c r="E16" s="6"/>
      <c r="F16" s="79"/>
      <c r="I16" s="32"/>
      <c r="J16" s="80"/>
    </row>
    <row r="17" spans="2:10" ht="30" customHeight="1">
      <c r="B17" s="5"/>
      <c r="C17" s="6"/>
      <c r="D17" s="10"/>
      <c r="E17" s="6"/>
      <c r="F17" s="77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D9" sqref="D9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1337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1309</v>
      </c>
      <c r="E7" s="6" t="s">
        <v>97</v>
      </c>
      <c r="F7" s="36">
        <f>(0.4+0.4)*(0.4+0.4)*0.55*10</f>
        <v>3.520000000000001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1312</v>
      </c>
      <c r="E8" s="6" t="s">
        <v>97</v>
      </c>
      <c r="F8" s="34">
        <f>3.5-0.8</f>
        <v>2.7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1313</v>
      </c>
      <c r="E9" s="6" t="s">
        <v>97</v>
      </c>
      <c r="F9" s="36">
        <f>(0.5*0.5*0.1+0.4*0.4*3.14/4*0.45)*10</f>
        <v>0.8152000000000001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1318</v>
      </c>
      <c r="E10" s="6" t="s">
        <v>393</v>
      </c>
      <c r="F10" s="36">
        <f>0.5*0.5*10</f>
        <v>2.5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1318</v>
      </c>
      <c r="E11" s="6" t="s">
        <v>393</v>
      </c>
      <c r="F11" s="9">
        <f>0.5*0.5*10</f>
        <v>2.5</v>
      </c>
      <c r="I11" s="32"/>
      <c r="J11" s="80"/>
    </row>
    <row r="12" spans="2:10" ht="30" customHeight="1">
      <c r="B12" s="5" t="s">
        <v>305</v>
      </c>
      <c r="C12" s="6" t="s">
        <v>310</v>
      </c>
      <c r="D12" s="37" t="s">
        <v>1319</v>
      </c>
      <c r="E12" s="6" t="s">
        <v>397</v>
      </c>
      <c r="F12" s="9">
        <f>0.45*10</f>
        <v>4.5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1320</v>
      </c>
      <c r="E13" s="6" t="s">
        <v>97</v>
      </c>
      <c r="F13" s="9">
        <f>(0.4*0.4*3.14/4-0.1398*0.1398*3.14/4)*0.49*10</f>
        <v>0.5402638501400001</v>
      </c>
      <c r="I13" s="32"/>
      <c r="J13" s="80"/>
    </row>
    <row r="14" spans="2:10" ht="30" customHeight="1">
      <c r="B14" s="5" t="s">
        <v>307</v>
      </c>
      <c r="C14" s="6" t="s">
        <v>311</v>
      </c>
      <c r="D14" s="76">
        <v>10</v>
      </c>
      <c r="E14" s="6" t="s">
        <v>396</v>
      </c>
      <c r="F14" s="147">
        <f>10</f>
        <v>10</v>
      </c>
      <c r="I14" s="32"/>
      <c r="J14" s="80"/>
    </row>
    <row r="15" spans="2:10" ht="30" customHeight="1">
      <c r="B15" s="5"/>
      <c r="C15" s="6"/>
      <c r="D15" s="76"/>
      <c r="E15" s="6"/>
      <c r="F15" s="147"/>
      <c r="I15" s="32"/>
      <c r="J15" s="80"/>
    </row>
    <row r="16" spans="2:10" ht="30" customHeight="1">
      <c r="B16" s="5"/>
      <c r="C16" s="6"/>
      <c r="D16" s="4"/>
      <c r="E16" s="6"/>
      <c r="F16" s="79"/>
      <c r="I16" s="32"/>
      <c r="J16" s="80"/>
    </row>
    <row r="17" spans="2:10" ht="30" customHeight="1">
      <c r="B17" s="5"/>
      <c r="C17" s="6"/>
      <c r="D17" s="10"/>
      <c r="E17" s="6"/>
      <c r="F17" s="77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D9" sqref="D9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1336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1321</v>
      </c>
      <c r="E7" s="6" t="s">
        <v>97</v>
      </c>
      <c r="F7" s="36">
        <f>(0.3+0.4)*(0.3+0.4)*0.5*2*10</f>
        <v>4.8999999999999995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1322</v>
      </c>
      <c r="E8" s="6" t="s">
        <v>97</v>
      </c>
      <c r="F8" s="34">
        <f>4.9-0.9</f>
        <v>4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1323</v>
      </c>
      <c r="E9" s="6" t="s">
        <v>97</v>
      </c>
      <c r="F9" s="36">
        <f>(0.4*0.4*0.1+0.3*0.3*3.14/4*0.4)*2*10</f>
        <v>0.8852000000000002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1324</v>
      </c>
      <c r="E10" s="6" t="s">
        <v>393</v>
      </c>
      <c r="F10" s="36">
        <f>0.4*0.4*2*10</f>
        <v>3.2000000000000006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1324</v>
      </c>
      <c r="E11" s="6" t="s">
        <v>393</v>
      </c>
      <c r="F11" s="9">
        <f>0.4*0.4*2*10</f>
        <v>3.2000000000000006</v>
      </c>
      <c r="I11" s="32"/>
      <c r="J11" s="80"/>
    </row>
    <row r="12" spans="2:10" ht="30" customHeight="1">
      <c r="B12" s="5" t="s">
        <v>305</v>
      </c>
      <c r="C12" s="6" t="s">
        <v>306</v>
      </c>
      <c r="D12" s="37" t="s">
        <v>1325</v>
      </c>
      <c r="E12" s="6" t="s">
        <v>397</v>
      </c>
      <c r="F12" s="9">
        <f>0.4*2*10</f>
        <v>8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1326</v>
      </c>
      <c r="E13" s="6" t="s">
        <v>97</v>
      </c>
      <c r="F13" s="9">
        <f>(0.3*0.3*3.14/4*0.4-0.0427*0.0427*3.14/4*0.3)*2*10</f>
        <v>0.5566123041000001</v>
      </c>
      <c r="I13" s="32"/>
      <c r="J13" s="80"/>
    </row>
    <row r="14" spans="2:10" ht="30" customHeight="1">
      <c r="B14" s="5" t="s">
        <v>307</v>
      </c>
      <c r="C14" s="6" t="s">
        <v>309</v>
      </c>
      <c r="D14" s="76">
        <v>10</v>
      </c>
      <c r="E14" s="6" t="s">
        <v>396</v>
      </c>
      <c r="F14" s="147">
        <f>10</f>
        <v>10</v>
      </c>
      <c r="I14" s="32"/>
      <c r="J14" s="80"/>
    </row>
    <row r="15" spans="2:10" ht="30" customHeight="1">
      <c r="B15" s="5"/>
      <c r="C15" s="6"/>
      <c r="D15" s="78"/>
      <c r="E15" s="6"/>
      <c r="F15" s="79"/>
      <c r="I15" s="32"/>
      <c r="J15" s="80"/>
    </row>
    <row r="16" spans="2:10" ht="30" customHeight="1">
      <c r="B16" s="5"/>
      <c r="C16" s="6"/>
      <c r="D16" s="4"/>
      <c r="E16" s="6"/>
      <c r="F16" s="79"/>
      <c r="I16" s="32"/>
      <c r="J16" s="80"/>
    </row>
    <row r="17" spans="2:10" ht="30" customHeight="1">
      <c r="B17" s="5"/>
      <c r="C17" s="6"/>
      <c r="D17" s="10"/>
      <c r="E17" s="6"/>
      <c r="F17" s="77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F19" sqref="F19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1335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1327</v>
      </c>
      <c r="E7" s="6" t="s">
        <v>97</v>
      </c>
      <c r="F7" s="36">
        <f>(0.3+0.4)*(0.3+0.4)*0.5*2*10</f>
        <v>4.8999999999999995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1328</v>
      </c>
      <c r="E8" s="6" t="s">
        <v>97</v>
      </c>
      <c r="F8" s="34">
        <f>4.9-0.9</f>
        <v>4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1329</v>
      </c>
      <c r="E9" s="6" t="s">
        <v>97</v>
      </c>
      <c r="F9" s="36">
        <f>(0.4*0.4*0.1+0.3*0.3*3.14/4*0.4)*2*10</f>
        <v>0.8852000000000002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1330</v>
      </c>
      <c r="E10" s="6" t="s">
        <v>393</v>
      </c>
      <c r="F10" s="36">
        <f>0.4*0.4*2*10</f>
        <v>3.2000000000000006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1330</v>
      </c>
      <c r="E11" s="6" t="s">
        <v>393</v>
      </c>
      <c r="F11" s="9">
        <f>0.4*0.4*2*10</f>
        <v>3.2000000000000006</v>
      </c>
      <c r="I11" s="32"/>
      <c r="J11" s="80"/>
    </row>
    <row r="12" spans="2:10" ht="30" customHeight="1">
      <c r="B12" s="5" t="s">
        <v>305</v>
      </c>
      <c r="C12" s="6" t="s">
        <v>306</v>
      </c>
      <c r="D12" s="37" t="s">
        <v>1331</v>
      </c>
      <c r="E12" s="6" t="s">
        <v>397</v>
      </c>
      <c r="F12" s="9">
        <f>0.4*2*10</f>
        <v>8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1332</v>
      </c>
      <c r="E13" s="6" t="s">
        <v>97</v>
      </c>
      <c r="F13" s="9">
        <f>(0.3*0.3*3.14/4*0.4-0.0605*0.0605*3.14/4*0.4)*2*10</f>
        <v>0.5422136300000001</v>
      </c>
      <c r="I13" s="32"/>
      <c r="J13" s="80"/>
    </row>
    <row r="14" spans="2:10" ht="30" customHeight="1">
      <c r="B14" s="5" t="s">
        <v>1315</v>
      </c>
      <c r="C14" s="148" t="s">
        <v>1316</v>
      </c>
      <c r="D14" s="76" t="s">
        <v>1333</v>
      </c>
      <c r="E14" s="6" t="s">
        <v>97</v>
      </c>
      <c r="F14" s="81">
        <f>(0.075*0.075*3.14-0.057*0.057*3.14)*0.04*2*10</f>
        <v>0.0059685120000000005</v>
      </c>
      <c r="I14" s="32"/>
      <c r="J14" s="80"/>
    </row>
    <row r="15" spans="2:10" ht="30" customHeight="1">
      <c r="B15" s="5" t="s">
        <v>307</v>
      </c>
      <c r="C15" s="6" t="s">
        <v>308</v>
      </c>
      <c r="D15" s="76">
        <v>10</v>
      </c>
      <c r="E15" s="6" t="s">
        <v>396</v>
      </c>
      <c r="F15" s="147">
        <f>10</f>
        <v>10</v>
      </c>
      <c r="I15" s="32"/>
      <c r="J15" s="80"/>
    </row>
    <row r="16" spans="2:10" ht="30" customHeight="1">
      <c r="B16" s="5"/>
      <c r="C16" s="6"/>
      <c r="D16" s="4"/>
      <c r="E16" s="6"/>
      <c r="F16" s="79"/>
      <c r="I16" s="32"/>
      <c r="J16" s="80"/>
    </row>
    <row r="17" spans="2:10" ht="30" customHeight="1">
      <c r="B17" s="5"/>
      <c r="C17" s="6"/>
      <c r="D17" s="10"/>
      <c r="E17" s="6"/>
      <c r="F17" s="77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1334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154</v>
      </c>
      <c r="E7" s="6" t="s">
        <v>97</v>
      </c>
      <c r="F7" s="36">
        <f>(0.2+0.4)*(0.3+0.4)*0.33*10</f>
        <v>1.3860000000000003</v>
      </c>
      <c r="I7" s="32"/>
      <c r="J7" s="51"/>
    </row>
    <row r="8" spans="2:10" ht="30" customHeight="1">
      <c r="B8" s="5" t="s">
        <v>287</v>
      </c>
      <c r="C8" s="6" t="s">
        <v>288</v>
      </c>
      <c r="D8" s="3" t="s">
        <v>155</v>
      </c>
      <c r="E8" s="6" t="s">
        <v>97</v>
      </c>
      <c r="F8" s="34">
        <f>1.4-0.3</f>
        <v>1.0999999999999999</v>
      </c>
      <c r="I8" s="32"/>
      <c r="J8" s="51"/>
    </row>
    <row r="9" spans="2:10" ht="30" customHeight="1">
      <c r="B9" s="5" t="s">
        <v>289</v>
      </c>
      <c r="C9" s="6">
        <v>0</v>
      </c>
      <c r="D9" s="3" t="s">
        <v>84</v>
      </c>
      <c r="E9" s="6" t="s">
        <v>97</v>
      </c>
      <c r="F9" s="36">
        <f>(0.3*0.4*0.1+0.2*0.3*0.23)*10</f>
        <v>0.258</v>
      </c>
      <c r="I9" s="32"/>
      <c r="J9" s="51"/>
    </row>
    <row r="10" spans="2:10" ht="30" customHeight="1">
      <c r="B10" s="5" t="s">
        <v>290</v>
      </c>
      <c r="C10" s="6">
        <v>0</v>
      </c>
      <c r="D10" s="3" t="s">
        <v>156</v>
      </c>
      <c r="E10" s="6" t="s">
        <v>393</v>
      </c>
      <c r="F10" s="36">
        <f>0.3*0.4*10</f>
        <v>1.2</v>
      </c>
      <c r="I10" s="32"/>
      <c r="J10" s="51"/>
    </row>
    <row r="11" spans="2:10" ht="30" customHeight="1">
      <c r="B11" s="5" t="s">
        <v>291</v>
      </c>
      <c r="C11" s="6" t="s">
        <v>292</v>
      </c>
      <c r="D11" s="35" t="s">
        <v>159</v>
      </c>
      <c r="E11" s="6" t="s">
        <v>393</v>
      </c>
      <c r="F11" s="9">
        <f>0.3*0.4*10</f>
        <v>1.2</v>
      </c>
      <c r="I11" s="32"/>
      <c r="J11" s="51"/>
    </row>
    <row r="12" spans="2:10" ht="30" customHeight="1">
      <c r="B12" s="5" t="s">
        <v>301</v>
      </c>
      <c r="C12" s="6" t="s">
        <v>302</v>
      </c>
      <c r="D12" s="37" t="s">
        <v>160</v>
      </c>
      <c r="E12" s="6" t="s">
        <v>97</v>
      </c>
      <c r="F12" s="38">
        <f>0.2*0.3*0.03*10</f>
        <v>0.018</v>
      </c>
      <c r="I12" s="32"/>
      <c r="J12" s="51"/>
    </row>
    <row r="13" spans="2:10" ht="30" customHeight="1">
      <c r="B13" s="5" t="s">
        <v>304</v>
      </c>
      <c r="C13" s="6" t="s">
        <v>303</v>
      </c>
      <c r="D13" s="37"/>
      <c r="E13" s="6" t="s">
        <v>396</v>
      </c>
      <c r="F13" s="40">
        <v>10</v>
      </c>
      <c r="I13" s="32"/>
      <c r="J13" s="51"/>
    </row>
    <row r="14" spans="2:10" ht="30" customHeight="1">
      <c r="B14" s="5"/>
      <c r="C14" s="6"/>
      <c r="D14" s="35"/>
      <c r="E14" s="6"/>
      <c r="F14" s="53"/>
      <c r="I14" s="32"/>
      <c r="J14" s="51"/>
    </row>
    <row r="15" spans="2:10" ht="30" customHeight="1">
      <c r="B15" s="5"/>
      <c r="C15" s="6"/>
      <c r="D15" s="39"/>
      <c r="E15" s="6"/>
      <c r="F15" s="56"/>
      <c r="I15" s="32"/>
      <c r="J15" s="51"/>
    </row>
    <row r="16" spans="2:10" ht="30" customHeight="1">
      <c r="B16" s="5"/>
      <c r="C16" s="6"/>
      <c r="D16" s="4"/>
      <c r="E16" s="6"/>
      <c r="F16" s="56"/>
      <c r="I16" s="32"/>
      <c r="J16" s="51"/>
    </row>
    <row r="17" spans="2:10" ht="30" customHeight="1">
      <c r="B17" s="5"/>
      <c r="C17" s="6"/>
      <c r="D17" s="10"/>
      <c r="E17" s="6"/>
      <c r="F17" s="53"/>
      <c r="I17" s="32"/>
      <c r="J17" s="51"/>
    </row>
    <row r="18" spans="2:10" ht="30" customHeight="1">
      <c r="B18" s="5"/>
      <c r="C18" s="6"/>
      <c r="D18" s="10"/>
      <c r="E18" s="6"/>
      <c r="F18" s="53"/>
      <c r="I18" s="32"/>
      <c r="J18" s="51"/>
    </row>
    <row r="19" spans="2:10" ht="30" customHeight="1">
      <c r="B19" s="5"/>
      <c r="C19" s="6"/>
      <c r="D19" s="10"/>
      <c r="E19" s="6"/>
      <c r="F19" s="54"/>
      <c r="I19" s="32"/>
      <c r="J19" s="51"/>
    </row>
    <row r="20" spans="2:10" ht="30" customHeight="1">
      <c r="B20" s="5"/>
      <c r="C20" s="6"/>
      <c r="D20" s="10"/>
      <c r="E20" s="6"/>
      <c r="F20" s="54"/>
      <c r="I20" s="32"/>
      <c r="J20" s="51"/>
    </row>
    <row r="21" spans="2:10" ht="30" customHeight="1">
      <c r="B21" s="5"/>
      <c r="C21" s="6"/>
      <c r="D21" s="10"/>
      <c r="E21" s="6"/>
      <c r="F21" s="11"/>
      <c r="I21" s="32"/>
      <c r="J21" s="51"/>
    </row>
    <row r="22" spans="2:10" ht="39" customHeight="1">
      <c r="B22" s="5"/>
      <c r="C22" s="6"/>
      <c r="D22" s="37"/>
      <c r="E22" s="13"/>
      <c r="F22" s="38"/>
      <c r="I22" s="32"/>
      <c r="J22" s="51"/>
    </row>
    <row r="23" spans="2:10" ht="30" customHeight="1">
      <c r="B23" s="5"/>
      <c r="C23" s="6"/>
      <c r="D23" s="12"/>
      <c r="E23" s="13"/>
      <c r="F23" s="9"/>
      <c r="I23" s="32"/>
      <c r="J23" s="51"/>
    </row>
    <row r="24" spans="2:10" ht="30" customHeight="1">
      <c r="B24" s="5"/>
      <c r="C24" s="6"/>
      <c r="D24" s="10"/>
      <c r="E24" s="13"/>
      <c r="F24" s="55"/>
      <c r="I24" s="32"/>
      <c r="J24" s="51"/>
    </row>
    <row r="25" spans="2:10" ht="30" customHeight="1">
      <c r="B25" s="5"/>
      <c r="C25" s="6"/>
      <c r="D25" s="10"/>
      <c r="E25" s="13"/>
      <c r="F25" s="11"/>
      <c r="I25" s="32"/>
      <c r="J25" s="51"/>
    </row>
    <row r="26" spans="2:10" ht="30" customHeight="1">
      <c r="B26" s="5"/>
      <c r="C26" s="6"/>
      <c r="D26" s="37"/>
      <c r="E26" s="13"/>
      <c r="F26" s="36"/>
      <c r="I26" s="32"/>
      <c r="J26" s="51"/>
    </row>
    <row r="27" spans="2:10" ht="30" customHeight="1">
      <c r="B27" s="5"/>
      <c r="C27" s="6"/>
      <c r="D27" s="37"/>
      <c r="E27" s="6"/>
      <c r="F27" s="41"/>
      <c r="I27" s="32"/>
      <c r="J27" s="51"/>
    </row>
    <row r="28" spans="2:10" ht="30" customHeight="1">
      <c r="B28" s="5"/>
      <c r="C28" s="6"/>
      <c r="D28" s="12"/>
      <c r="E28" s="13"/>
      <c r="F28" s="9"/>
      <c r="I28" s="32"/>
      <c r="J28" s="51"/>
    </row>
    <row r="29" spans="2:10" ht="30" customHeight="1" thickBot="1">
      <c r="B29" s="43"/>
      <c r="C29" s="44"/>
      <c r="D29" s="45"/>
      <c r="E29" s="44"/>
      <c r="F29" s="46"/>
      <c r="I29" s="32"/>
      <c r="J29" s="51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D20" sqref="D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401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1306</v>
      </c>
      <c r="E7" s="6" t="s">
        <v>97</v>
      </c>
      <c r="F7" s="36">
        <f>(0.4+0.4)*(0.4+0.4)*0.3*10</f>
        <v>1.9200000000000004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1307</v>
      </c>
      <c r="E8" s="6" t="s">
        <v>97</v>
      </c>
      <c r="F8" s="34">
        <f>1.9-0.4</f>
        <v>1.5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203</v>
      </c>
      <c r="E9" s="6" t="s">
        <v>97</v>
      </c>
      <c r="F9" s="36">
        <f>(0.5*0.5*0.1+0.2*0.2*3.14*0.13+0.125*0.125*3.14*0.07)*10</f>
        <v>0.4476237500000001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81</v>
      </c>
      <c r="E10" s="6" t="s">
        <v>393</v>
      </c>
      <c r="F10" s="36">
        <f>0.5*0.5*10</f>
        <v>2.5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81</v>
      </c>
      <c r="E11" s="6" t="s">
        <v>393</v>
      </c>
      <c r="F11" s="9">
        <f>0.5*0.5*10</f>
        <v>2.5</v>
      </c>
      <c r="I11" s="32"/>
      <c r="J11" s="75"/>
    </row>
    <row r="12" spans="2:10" ht="30" customHeight="1">
      <c r="B12" s="5" t="s">
        <v>299</v>
      </c>
      <c r="C12" s="6" t="s">
        <v>293</v>
      </c>
      <c r="D12" s="37" t="s">
        <v>204</v>
      </c>
      <c r="E12" s="6" t="s">
        <v>393</v>
      </c>
      <c r="F12" s="9">
        <f>0.13*10</f>
        <v>1.3</v>
      </c>
      <c r="I12" s="32"/>
      <c r="J12" s="75"/>
    </row>
    <row r="13" spans="2:10" ht="30" customHeight="1">
      <c r="B13" s="5" t="s">
        <v>294</v>
      </c>
      <c r="C13" s="6" t="s">
        <v>295</v>
      </c>
      <c r="D13" s="37" t="s">
        <v>1308</v>
      </c>
      <c r="E13" s="6" t="s">
        <v>97</v>
      </c>
      <c r="F13" s="9">
        <f>(0.2*0.2*3.14*0.13-0.125*0.125*3.14*0.08)*10</f>
        <v>0.12403</v>
      </c>
      <c r="I13" s="32"/>
      <c r="J13" s="75"/>
    </row>
    <row r="14" spans="2:10" ht="30" customHeight="1">
      <c r="B14" s="5" t="s">
        <v>296</v>
      </c>
      <c r="C14" s="6" t="s">
        <v>300</v>
      </c>
      <c r="D14" s="37">
        <v>10</v>
      </c>
      <c r="E14" s="6" t="s">
        <v>395</v>
      </c>
      <c r="F14" s="40">
        <f>10</f>
        <v>10</v>
      </c>
      <c r="I14" s="32"/>
      <c r="J14" s="75"/>
    </row>
    <row r="15" spans="2:10" ht="30" customHeight="1">
      <c r="B15" s="5"/>
      <c r="C15" s="6"/>
      <c r="D15" s="78"/>
      <c r="E15" s="6"/>
      <c r="F15" s="79"/>
      <c r="I15" s="32"/>
      <c r="J15" s="75"/>
    </row>
    <row r="16" spans="2:10" ht="30" customHeight="1">
      <c r="B16" s="5"/>
      <c r="C16" s="6"/>
      <c r="D16" s="4"/>
      <c r="E16" s="6"/>
      <c r="F16" s="79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402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403</v>
      </c>
      <c r="E7" s="6" t="s">
        <v>97</v>
      </c>
      <c r="F7" s="36">
        <f>(0.45+0.4)*0.215*10</f>
        <v>1.8275000000000001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404</v>
      </c>
      <c r="E8" s="6" t="s">
        <v>97</v>
      </c>
      <c r="F8" s="34">
        <f>1.8-1</f>
        <v>0.8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405</v>
      </c>
      <c r="E9" s="6" t="s">
        <v>97</v>
      </c>
      <c r="F9" s="36">
        <f>(0.48*0.1+0.45*0.115)*10</f>
        <v>0.9975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406</v>
      </c>
      <c r="E10" s="6" t="s">
        <v>393</v>
      </c>
      <c r="F10" s="36">
        <f>0.48*10</f>
        <v>4.8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407</v>
      </c>
      <c r="E11" s="6" t="s">
        <v>393</v>
      </c>
      <c r="F11" s="9">
        <f>0.48*10</f>
        <v>4.8</v>
      </c>
      <c r="I11" s="32"/>
      <c r="J11" s="75"/>
    </row>
    <row r="12" spans="2:10" ht="30" customHeight="1">
      <c r="B12" s="5" t="s">
        <v>301</v>
      </c>
      <c r="C12" s="6" t="s">
        <v>302</v>
      </c>
      <c r="D12" s="37" t="s">
        <v>408</v>
      </c>
      <c r="E12" s="6" t="s">
        <v>97</v>
      </c>
      <c r="F12" s="38">
        <f>0.45*0.03*10</f>
        <v>0.135</v>
      </c>
      <c r="I12" s="32"/>
      <c r="J12" s="75"/>
    </row>
    <row r="13" spans="2:10" ht="30" customHeight="1">
      <c r="B13" s="5" t="s">
        <v>409</v>
      </c>
      <c r="C13" s="6" t="s">
        <v>410</v>
      </c>
      <c r="D13" s="37"/>
      <c r="E13" s="6" t="s">
        <v>397</v>
      </c>
      <c r="F13" s="9">
        <v>10</v>
      </c>
      <c r="I13" s="32"/>
      <c r="J13" s="75"/>
    </row>
    <row r="14" spans="2:10" ht="30" customHeight="1">
      <c r="B14" s="5"/>
      <c r="C14" s="6"/>
      <c r="D14" s="76"/>
      <c r="E14" s="6"/>
      <c r="F14" s="77"/>
      <c r="I14" s="32"/>
      <c r="J14" s="75"/>
    </row>
    <row r="15" spans="2:10" ht="30" customHeight="1">
      <c r="B15" s="5"/>
      <c r="C15" s="6"/>
      <c r="D15" s="78"/>
      <c r="E15" s="6"/>
      <c r="F15" s="79"/>
      <c r="I15" s="32"/>
      <c r="J15" s="75"/>
    </row>
    <row r="16" spans="2:10" ht="30" customHeight="1">
      <c r="B16" s="5"/>
      <c r="C16" s="6"/>
      <c r="D16" s="4"/>
      <c r="E16" s="6"/>
      <c r="F16" s="79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411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412</v>
      </c>
      <c r="E7" s="6" t="s">
        <v>97</v>
      </c>
      <c r="F7" s="36">
        <f>(0.4+0.4)*0.24*10</f>
        <v>1.92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413</v>
      </c>
      <c r="E8" s="6" t="s">
        <v>97</v>
      </c>
      <c r="F8" s="34">
        <f>1.9-1</f>
        <v>0.8999999999999999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414</v>
      </c>
      <c r="E9" s="6" t="s">
        <v>97</v>
      </c>
      <c r="F9" s="36">
        <f>0.4*0.24*10</f>
        <v>0.96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416</v>
      </c>
      <c r="E10" s="6" t="s">
        <v>393</v>
      </c>
      <c r="F10" s="36">
        <f>0.4*10</f>
        <v>4</v>
      </c>
      <c r="I10" s="32"/>
      <c r="J10" s="80"/>
    </row>
    <row r="11" spans="2:10" ht="30" customHeight="1">
      <c r="B11" s="5" t="s">
        <v>291</v>
      </c>
      <c r="C11" s="6" t="s">
        <v>292</v>
      </c>
      <c r="D11" s="76" t="s">
        <v>416</v>
      </c>
      <c r="E11" s="6" t="s">
        <v>393</v>
      </c>
      <c r="F11" s="9">
        <f>0.4*10</f>
        <v>4</v>
      </c>
      <c r="I11" s="32"/>
      <c r="J11" s="80"/>
    </row>
    <row r="12" spans="2:10" ht="30" customHeight="1">
      <c r="B12" s="5" t="s">
        <v>301</v>
      </c>
      <c r="C12" s="6" t="s">
        <v>302</v>
      </c>
      <c r="D12" s="37" t="s">
        <v>417</v>
      </c>
      <c r="E12" s="6" t="s">
        <v>97</v>
      </c>
      <c r="F12" s="38">
        <f>0.4*0.03*10</f>
        <v>0.12</v>
      </c>
      <c r="I12" s="32"/>
      <c r="J12" s="80"/>
    </row>
    <row r="13" spans="2:10" ht="30" customHeight="1">
      <c r="B13" s="5" t="s">
        <v>418</v>
      </c>
      <c r="C13" s="6">
        <v>0</v>
      </c>
      <c r="D13" s="37">
        <v>10</v>
      </c>
      <c r="E13" s="6" t="s">
        <v>397</v>
      </c>
      <c r="F13" s="9">
        <f>10</f>
        <v>10</v>
      </c>
      <c r="I13" s="32"/>
      <c r="J13" s="80"/>
    </row>
    <row r="14" spans="2:10" ht="30" customHeight="1">
      <c r="B14" s="5"/>
      <c r="C14" s="6"/>
      <c r="D14" s="76"/>
      <c r="E14" s="6"/>
      <c r="F14" s="77"/>
      <c r="I14" s="32"/>
      <c r="J14" s="80"/>
    </row>
    <row r="15" spans="2:10" ht="30" customHeight="1">
      <c r="B15" s="5"/>
      <c r="C15" s="6"/>
      <c r="D15" s="78"/>
      <c r="E15" s="6"/>
      <c r="F15" s="79"/>
      <c r="I15" s="32"/>
      <c r="J15" s="80"/>
    </row>
    <row r="16" spans="2:10" ht="30" customHeight="1">
      <c r="B16" s="5"/>
      <c r="C16" s="6"/>
      <c r="D16" s="4"/>
      <c r="E16" s="6"/>
      <c r="F16" s="79"/>
      <c r="I16" s="32"/>
      <c r="J16" s="80"/>
    </row>
    <row r="17" spans="2:10" ht="30" customHeight="1">
      <c r="B17" s="5"/>
      <c r="C17" s="6"/>
      <c r="D17" s="10"/>
      <c r="E17" s="6"/>
      <c r="F17" s="77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419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420</v>
      </c>
      <c r="E7" s="6" t="s">
        <v>97</v>
      </c>
      <c r="F7" s="36">
        <f>(0.55+0.4)*(0.75+0.4)*0.65*10</f>
        <v>7.10125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421</v>
      </c>
      <c r="E8" s="6" t="s">
        <v>97</v>
      </c>
      <c r="F8" s="34">
        <f>7.1-2.5</f>
        <v>4.6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422</v>
      </c>
      <c r="E9" s="6" t="s">
        <v>97</v>
      </c>
      <c r="F9" s="36">
        <f>(0.65*0.85*0.1+(0.55*0.75*0.39+0.4*0.6*0.16))*10</f>
        <v>2.5452500000000002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423</v>
      </c>
      <c r="E10" s="6" t="s">
        <v>393</v>
      </c>
      <c r="F10" s="36">
        <f>0.65*0.85*10</f>
        <v>5.525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423</v>
      </c>
      <c r="E11" s="6" t="s">
        <v>393</v>
      </c>
      <c r="F11" s="9">
        <f>0.65*0.85*10</f>
        <v>5.525</v>
      </c>
      <c r="I11" s="32"/>
      <c r="J11" s="80"/>
    </row>
    <row r="12" spans="2:10" ht="30" customHeight="1">
      <c r="B12" s="5" t="s">
        <v>320</v>
      </c>
      <c r="C12" s="6">
        <v>0</v>
      </c>
      <c r="D12" s="37" t="s">
        <v>424</v>
      </c>
      <c r="E12" s="6" t="s">
        <v>393</v>
      </c>
      <c r="F12" s="9">
        <f>((0.55+0.75)*0.39+(0.25+0.45)*0.29-(0.0825*0.0825*3.14))*2*10</f>
        <v>13.7725675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425</v>
      </c>
      <c r="E13" s="6" t="s">
        <v>97</v>
      </c>
      <c r="F13" s="9">
        <f>(0.55*0.75*0.39-(0.25*0.45*0.29+0.0825*0.0825*3.14*0.15))*10</f>
        <v>1.2504425625000002</v>
      </c>
      <c r="I13" s="32"/>
      <c r="J13" s="80"/>
    </row>
    <row r="14" spans="2:10" ht="30" customHeight="1">
      <c r="B14" s="5" t="s">
        <v>301</v>
      </c>
      <c r="C14" s="6" t="s">
        <v>302</v>
      </c>
      <c r="D14" s="76" t="s">
        <v>426</v>
      </c>
      <c r="E14" s="6" t="s">
        <v>97</v>
      </c>
      <c r="F14" s="81">
        <f>(0.4*0.6-0.25*0.45)*0.01*10</f>
        <v>0.012750000000000001</v>
      </c>
      <c r="I14" s="32"/>
      <c r="J14" s="80"/>
    </row>
    <row r="15" spans="2:10" ht="30" customHeight="1">
      <c r="B15" s="5" t="s">
        <v>427</v>
      </c>
      <c r="C15" s="6" t="s">
        <v>428</v>
      </c>
      <c r="D15" s="78">
        <v>10</v>
      </c>
      <c r="E15" s="6" t="s">
        <v>396</v>
      </c>
      <c r="F15" s="79">
        <f>10</f>
        <v>10</v>
      </c>
      <c r="I15" s="32"/>
      <c r="J15" s="80"/>
    </row>
    <row r="16" spans="2:10" ht="30" customHeight="1">
      <c r="B16" s="5"/>
      <c r="C16" s="6"/>
      <c r="D16" s="4" t="s">
        <v>429</v>
      </c>
      <c r="E16" s="6"/>
      <c r="F16" s="79"/>
      <c r="I16" s="32"/>
      <c r="J16" s="80"/>
    </row>
    <row r="17" spans="2:10" ht="30" customHeight="1">
      <c r="B17" s="5"/>
      <c r="C17" s="6"/>
      <c r="D17" s="10"/>
      <c r="E17" s="6"/>
      <c r="F17" s="77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430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431</v>
      </c>
      <c r="E7" s="6" t="s">
        <v>97</v>
      </c>
      <c r="F7" s="36">
        <f>(0.55+0.4)*(0.75+0.4)*0.75*10</f>
        <v>8.19375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432</v>
      </c>
      <c r="E8" s="6" t="s">
        <v>97</v>
      </c>
      <c r="F8" s="34">
        <f>8.2-3</f>
        <v>5.199999999999999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433</v>
      </c>
      <c r="E9" s="6" t="s">
        <v>97</v>
      </c>
      <c r="F9" s="36">
        <f>(0.65*0.85*0.1+(0.55*0.75*0.49+0.4*0.6*0.16))*10</f>
        <v>2.95775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434</v>
      </c>
      <c r="E10" s="6" t="s">
        <v>393</v>
      </c>
      <c r="F10" s="36">
        <f>0.65*0.85*10</f>
        <v>5.525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423</v>
      </c>
      <c r="E11" s="6" t="s">
        <v>393</v>
      </c>
      <c r="F11" s="9">
        <f>0.65*0.85*10</f>
        <v>5.525</v>
      </c>
      <c r="I11" s="32"/>
      <c r="J11" s="80"/>
    </row>
    <row r="12" spans="2:10" ht="30" customHeight="1">
      <c r="B12" s="5" t="s">
        <v>320</v>
      </c>
      <c r="C12" s="6">
        <v>0</v>
      </c>
      <c r="D12" s="37" t="s">
        <v>435</v>
      </c>
      <c r="E12" s="6" t="s">
        <v>393</v>
      </c>
      <c r="F12" s="9">
        <f>((0.55+0.75)*0.49+(0.25+0.45)*0.39-(0.0825*0.0825*3.14))*2*10</f>
        <v>17.772567499999997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436</v>
      </c>
      <c r="E13" s="6" t="s">
        <v>97</v>
      </c>
      <c r="F13" s="9">
        <f>(0.55*0.75*0.49-(0.25*0.45*0.39+0.0825*0.0825*3.14*0.15))*10</f>
        <v>1.5504425625000002</v>
      </c>
      <c r="I13" s="32"/>
      <c r="J13" s="80"/>
    </row>
    <row r="14" spans="2:10" ht="30" customHeight="1">
      <c r="B14" s="5" t="s">
        <v>301</v>
      </c>
      <c r="C14" s="6" t="s">
        <v>302</v>
      </c>
      <c r="D14" s="76" t="s">
        <v>437</v>
      </c>
      <c r="E14" s="6" t="s">
        <v>97</v>
      </c>
      <c r="F14" s="81">
        <f>(0.4*0.6-0.25*0.45)*0.01*10</f>
        <v>0.012750000000000001</v>
      </c>
      <c r="I14" s="32"/>
      <c r="J14" s="80"/>
    </row>
    <row r="15" spans="2:10" ht="30" customHeight="1">
      <c r="B15" s="5" t="s">
        <v>427</v>
      </c>
      <c r="C15" s="6" t="s">
        <v>428</v>
      </c>
      <c r="D15" s="78">
        <v>10</v>
      </c>
      <c r="E15" s="6" t="s">
        <v>396</v>
      </c>
      <c r="F15" s="79">
        <f>10</f>
        <v>10</v>
      </c>
      <c r="I15" s="32"/>
      <c r="J15" s="80"/>
    </row>
    <row r="16" spans="2:10" ht="30" customHeight="1">
      <c r="B16" s="5"/>
      <c r="C16" s="6"/>
      <c r="D16" s="4" t="s">
        <v>429</v>
      </c>
      <c r="E16" s="6"/>
      <c r="F16" s="79"/>
      <c r="I16" s="32"/>
      <c r="J16" s="80"/>
    </row>
    <row r="17" spans="2:10" ht="30" customHeight="1">
      <c r="B17" s="5"/>
      <c r="C17" s="6"/>
      <c r="D17" s="10"/>
      <c r="E17" s="6"/>
      <c r="F17" s="77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workbookViewId="0" topLeftCell="A21">
      <selection activeCell="B26" sqref="B26"/>
    </sheetView>
  </sheetViews>
  <sheetFormatPr defaultColWidth="9.00390625" defaultRowHeight="13.5"/>
  <cols>
    <col min="1" max="1" width="2.00390625" style="0" customWidth="1"/>
    <col min="2" max="2" width="13.50390625" style="0" customWidth="1"/>
    <col min="3" max="3" width="15.125" style="0" customWidth="1"/>
    <col min="4" max="4" width="45.125" style="0" customWidth="1"/>
    <col min="5" max="5" width="4.625" style="0" customWidth="1"/>
    <col min="6" max="6" width="12.875" style="0" customWidth="1"/>
    <col min="7" max="7" width="1.4921875" style="0" customWidth="1"/>
    <col min="8" max="8" width="5.25390625" style="0" customWidth="1"/>
    <col min="9" max="9" width="9.125" style="0" bestFit="1" customWidth="1"/>
    <col min="10" max="10" width="9.875" style="0" bestFit="1" customWidth="1"/>
  </cols>
  <sheetData>
    <row r="1" ht="27" customHeight="1" thickBot="1">
      <c r="F1" s="99" t="s">
        <v>58</v>
      </c>
    </row>
    <row r="2" spans="2:6" ht="27.75" customHeight="1">
      <c r="B2" s="100" t="s">
        <v>65</v>
      </c>
      <c r="C2" s="101"/>
      <c r="D2" s="101"/>
      <c r="E2" s="101"/>
      <c r="F2" s="102"/>
    </row>
    <row r="3" spans="1:6" ht="22.5" customHeight="1">
      <c r="A3" s="103"/>
      <c r="B3" s="104" t="s">
        <v>1245</v>
      </c>
      <c r="C3" s="105"/>
      <c r="D3" s="106"/>
      <c r="E3" s="107"/>
      <c r="F3" s="108"/>
    </row>
    <row r="4" spans="2:6" ht="1.5" customHeight="1">
      <c r="B4" s="109"/>
      <c r="C4" s="110"/>
      <c r="D4" s="110"/>
      <c r="E4" s="110"/>
      <c r="F4" s="111"/>
    </row>
    <row r="5" spans="2:6" ht="25.5" customHeight="1">
      <c r="B5" s="112"/>
      <c r="C5" s="113"/>
      <c r="D5" s="113"/>
      <c r="E5" s="7">
        <v>10</v>
      </c>
      <c r="F5" s="8" t="s">
        <v>1130</v>
      </c>
    </row>
    <row r="6" spans="2:10" ht="20.25" customHeight="1">
      <c r="B6" s="114" t="s">
        <v>59</v>
      </c>
      <c r="C6" s="115" t="s">
        <v>60</v>
      </c>
      <c r="D6" s="115" t="s">
        <v>63</v>
      </c>
      <c r="E6" s="115" t="s">
        <v>61</v>
      </c>
      <c r="F6" s="116" t="s">
        <v>62</v>
      </c>
      <c r="I6" s="117"/>
      <c r="J6" s="117"/>
    </row>
    <row r="7" spans="2:6" ht="1.5" customHeight="1">
      <c r="B7" s="118"/>
      <c r="C7" s="119"/>
      <c r="D7" s="119"/>
      <c r="E7" s="119"/>
      <c r="F7" s="120"/>
    </row>
    <row r="8" spans="2:10" ht="30" customHeight="1">
      <c r="B8" s="121" t="s">
        <v>1131</v>
      </c>
      <c r="C8" s="122"/>
      <c r="D8" s="123" t="s">
        <v>1246</v>
      </c>
      <c r="E8" s="122" t="s">
        <v>1247</v>
      </c>
      <c r="F8" s="124">
        <f>(1.05+0.4)*0.55*10</f>
        <v>7.975000000000002</v>
      </c>
      <c r="I8" s="125"/>
      <c r="J8" s="126"/>
    </row>
    <row r="9" spans="2:10" ht="30" customHeight="1">
      <c r="B9" s="121" t="s">
        <v>1134</v>
      </c>
      <c r="C9" s="127"/>
      <c r="D9" s="123" t="s">
        <v>1248</v>
      </c>
      <c r="E9" s="122" t="s">
        <v>1247</v>
      </c>
      <c r="F9" s="124">
        <f>8-4.6</f>
        <v>3.4000000000000004</v>
      </c>
      <c r="I9" s="125"/>
      <c r="J9" s="126"/>
    </row>
    <row r="10" spans="2:10" ht="30" customHeight="1">
      <c r="B10" s="121" t="s">
        <v>1137</v>
      </c>
      <c r="C10" s="128"/>
      <c r="D10" s="123" t="s">
        <v>1249</v>
      </c>
      <c r="E10" s="122" t="s">
        <v>1133</v>
      </c>
      <c r="F10" s="124">
        <f>(1.15*0.2+1.05*0.15+0.35*0.2)*10</f>
        <v>4.574999999999999</v>
      </c>
      <c r="I10" s="125"/>
      <c r="J10" s="126"/>
    </row>
    <row r="11" spans="2:10" ht="30" customHeight="1">
      <c r="B11" s="121" t="s">
        <v>1139</v>
      </c>
      <c r="C11" s="122"/>
      <c r="D11" s="123" t="s">
        <v>1250</v>
      </c>
      <c r="E11" s="122" t="s">
        <v>1142</v>
      </c>
      <c r="F11" s="124">
        <f>1.15*10</f>
        <v>11.5</v>
      </c>
      <c r="I11" s="125"/>
      <c r="J11" s="126"/>
    </row>
    <row r="12" spans="2:10" ht="30" customHeight="1">
      <c r="B12" s="121" t="s">
        <v>1144</v>
      </c>
      <c r="C12" s="129" t="s">
        <v>1145</v>
      </c>
      <c r="D12" s="123" t="s">
        <v>1250</v>
      </c>
      <c r="E12" s="122" t="s">
        <v>1142</v>
      </c>
      <c r="F12" s="130">
        <f>1.15*10</f>
        <v>11.5</v>
      </c>
      <c r="I12" s="125"/>
      <c r="J12" s="126"/>
    </row>
    <row r="13" spans="2:10" ht="30" customHeight="1">
      <c r="B13" s="121" t="s">
        <v>1147</v>
      </c>
      <c r="C13" s="122"/>
      <c r="D13" s="123" t="s">
        <v>1251</v>
      </c>
      <c r="E13" s="122" t="s">
        <v>1142</v>
      </c>
      <c r="F13" s="130">
        <f>(1.15*0.05+0.05*10)*2</f>
        <v>1.115</v>
      </c>
      <c r="I13" s="125"/>
      <c r="J13" s="126"/>
    </row>
    <row r="14" spans="2:10" ht="30" customHeight="1">
      <c r="B14" s="121" t="s">
        <v>1149</v>
      </c>
      <c r="C14" s="131" t="s">
        <v>1150</v>
      </c>
      <c r="D14" s="123" t="s">
        <v>1252</v>
      </c>
      <c r="E14" s="122" t="s">
        <v>1154</v>
      </c>
      <c r="F14" s="130">
        <f>1.15*0.05*10</f>
        <v>0.575</v>
      </c>
      <c r="I14" s="125"/>
      <c r="J14" s="126"/>
    </row>
    <row r="15" spans="2:10" ht="30" customHeight="1">
      <c r="B15" s="121" t="s">
        <v>1156</v>
      </c>
      <c r="C15" s="122"/>
      <c r="D15" s="123" t="s">
        <v>1253</v>
      </c>
      <c r="E15" s="122" t="s">
        <v>1154</v>
      </c>
      <c r="F15" s="130">
        <f>(0.15*1.05+0.15*10)*2</f>
        <v>3.315</v>
      </c>
      <c r="I15" s="125"/>
      <c r="J15" s="126"/>
    </row>
    <row r="16" spans="2:10" ht="30" customHeight="1">
      <c r="B16" s="121" t="s">
        <v>1159</v>
      </c>
      <c r="C16" s="131" t="s">
        <v>1150</v>
      </c>
      <c r="D16" s="123" t="s">
        <v>1254</v>
      </c>
      <c r="E16" s="122" t="s">
        <v>97</v>
      </c>
      <c r="F16" s="130">
        <f>1.05*0.15*10</f>
        <v>1.575</v>
      </c>
      <c r="I16" s="125"/>
      <c r="J16" s="126"/>
    </row>
    <row r="17" spans="2:10" ht="30" customHeight="1">
      <c r="B17" s="121" t="s">
        <v>1163</v>
      </c>
      <c r="C17" s="122"/>
      <c r="D17" s="123" t="s">
        <v>1255</v>
      </c>
      <c r="E17" s="122" t="s">
        <v>97</v>
      </c>
      <c r="F17" s="130">
        <f>0.65*0.2*10</f>
        <v>1.3</v>
      </c>
      <c r="I17" s="125"/>
      <c r="J17" s="126"/>
    </row>
    <row r="18" spans="2:10" ht="30" customHeight="1">
      <c r="B18" s="121" t="s">
        <v>1166</v>
      </c>
      <c r="C18" s="131"/>
      <c r="D18" s="123" t="s">
        <v>1167</v>
      </c>
      <c r="E18" s="122" t="s">
        <v>97</v>
      </c>
      <c r="F18" s="130">
        <f>0.2*0.15*2+0.15*10</f>
        <v>1.56</v>
      </c>
      <c r="I18" s="125"/>
      <c r="J18" s="126"/>
    </row>
    <row r="19" spans="2:10" ht="30" customHeight="1">
      <c r="B19" s="121" t="s">
        <v>1169</v>
      </c>
      <c r="C19" s="131" t="s">
        <v>1150</v>
      </c>
      <c r="D19" s="123" t="s">
        <v>1170</v>
      </c>
      <c r="E19" s="122" t="s">
        <v>97</v>
      </c>
      <c r="F19" s="130">
        <f>0.15*0.2*10</f>
        <v>0.3</v>
      </c>
      <c r="I19" s="125"/>
      <c r="J19" s="126"/>
    </row>
    <row r="20" spans="2:10" ht="30" customHeight="1">
      <c r="B20" s="121" t="s">
        <v>1172</v>
      </c>
      <c r="C20" s="129" t="s">
        <v>1173</v>
      </c>
      <c r="D20" s="123" t="s">
        <v>1256</v>
      </c>
      <c r="E20" s="122" t="s">
        <v>1176</v>
      </c>
      <c r="F20" s="130">
        <f>1.99*25*0.995</f>
        <v>49.50125</v>
      </c>
      <c r="I20" s="125"/>
      <c r="J20" s="126"/>
    </row>
    <row r="21" spans="2:10" ht="30" customHeight="1">
      <c r="B21" s="121" t="s">
        <v>1178</v>
      </c>
      <c r="C21" s="122"/>
      <c r="D21" s="123" t="s">
        <v>1257</v>
      </c>
      <c r="E21" s="122" t="s">
        <v>1176</v>
      </c>
      <c r="F21" s="130">
        <f>11*10*0.56</f>
        <v>61.60000000000001</v>
      </c>
      <c r="I21" s="125"/>
      <c r="J21" s="126"/>
    </row>
    <row r="22" spans="2:10" ht="30" customHeight="1">
      <c r="B22" s="121" t="s">
        <v>1181</v>
      </c>
      <c r="C22" s="122"/>
      <c r="D22" s="123" t="s">
        <v>834</v>
      </c>
      <c r="E22" s="122" t="s">
        <v>1142</v>
      </c>
      <c r="F22" s="130">
        <f>0.15*10</f>
        <v>1.5</v>
      </c>
      <c r="I22" s="125"/>
      <c r="J22" s="126"/>
    </row>
    <row r="23" spans="2:10" ht="30" customHeight="1">
      <c r="B23" s="121" t="s">
        <v>1184</v>
      </c>
      <c r="C23" s="122"/>
      <c r="D23" s="123" t="s">
        <v>1258</v>
      </c>
      <c r="E23" s="122" t="s">
        <v>1186</v>
      </c>
      <c r="F23" s="130">
        <f>0.8*10/2*0.15</f>
        <v>0.6</v>
      </c>
      <c r="I23" s="125"/>
      <c r="J23" s="126"/>
    </row>
    <row r="24" spans="2:10" ht="30" customHeight="1">
      <c r="B24" s="121" t="s">
        <v>1188</v>
      </c>
      <c r="C24" s="122"/>
      <c r="D24" s="123" t="s">
        <v>1259</v>
      </c>
      <c r="E24" s="122" t="s">
        <v>1260</v>
      </c>
      <c r="F24" s="130">
        <f>0.1*0.1*(0.8*10/2)</f>
        <v>0.04000000000000001</v>
      </c>
      <c r="I24" s="125"/>
      <c r="J24" s="126"/>
    </row>
    <row r="25" spans="2:10" ht="30" customHeight="1">
      <c r="B25" s="121" t="s">
        <v>1190</v>
      </c>
      <c r="C25" s="122"/>
      <c r="D25" s="123" t="s">
        <v>1262</v>
      </c>
      <c r="E25" s="122" t="s">
        <v>1193</v>
      </c>
      <c r="F25" s="124">
        <f>25*5</f>
        <v>125</v>
      </c>
      <c r="I25" s="125"/>
      <c r="J25" s="126"/>
    </row>
    <row r="26" spans="2:10" ht="30" customHeight="1">
      <c r="B26" s="121" t="s">
        <v>1194</v>
      </c>
      <c r="C26" s="128" t="s">
        <v>1195</v>
      </c>
      <c r="D26" s="123" t="s">
        <v>1263</v>
      </c>
      <c r="E26" s="122" t="s">
        <v>1133</v>
      </c>
      <c r="F26" s="133">
        <f>(24*1+10*4)*0.025*0.01+(0.11+0.15)*0.5*0.02*10</f>
        <v>0.042</v>
      </c>
      <c r="I26" s="125"/>
      <c r="J26" s="126"/>
    </row>
    <row r="27" spans="2:10" ht="30" customHeight="1">
      <c r="B27" s="121" t="s">
        <v>1200</v>
      </c>
      <c r="C27" s="131" t="s">
        <v>1150</v>
      </c>
      <c r="D27" s="123" t="s">
        <v>1264</v>
      </c>
      <c r="E27" s="122" t="s">
        <v>1133</v>
      </c>
      <c r="F27" s="132">
        <f>0.15*1*10*0.586</f>
        <v>0.879</v>
      </c>
      <c r="I27" s="125"/>
      <c r="J27" s="126"/>
    </row>
    <row r="28" spans="2:10" ht="30" customHeight="1">
      <c r="B28" s="121"/>
      <c r="C28" s="122"/>
      <c r="D28" s="123"/>
      <c r="E28" s="122"/>
      <c r="F28" s="134"/>
      <c r="I28" s="125"/>
      <c r="J28" s="126"/>
    </row>
    <row r="29" spans="2:10" ht="30" customHeight="1">
      <c r="B29" s="121"/>
      <c r="C29" s="122"/>
      <c r="D29" s="135"/>
      <c r="E29" s="122"/>
      <c r="F29" s="136"/>
      <c r="I29" s="125"/>
      <c r="J29" s="126"/>
    </row>
    <row r="30" spans="2:10" ht="30" customHeight="1" thickBot="1">
      <c r="B30" s="137"/>
      <c r="C30" s="138"/>
      <c r="D30" s="139"/>
      <c r="E30" s="138"/>
      <c r="F30" s="140"/>
      <c r="I30" s="125"/>
      <c r="J30" s="126"/>
    </row>
    <row r="32" spans="9:10" ht="13.5">
      <c r="I32" s="117"/>
      <c r="J32" s="141"/>
    </row>
    <row r="33" spans="1:4" ht="13.5">
      <c r="A33" s="107"/>
      <c r="B33" s="107"/>
      <c r="C33" s="107"/>
      <c r="D33" s="107"/>
    </row>
    <row r="34" spans="1:4" ht="13.5">
      <c r="A34" s="107"/>
      <c r="B34" s="142"/>
      <c r="C34" s="142"/>
      <c r="D34" s="107"/>
    </row>
    <row r="35" spans="1:4" ht="13.5">
      <c r="A35" s="107"/>
      <c r="B35" s="142"/>
      <c r="C35" s="142"/>
      <c r="D35" s="107"/>
    </row>
    <row r="36" spans="1:4" ht="13.5">
      <c r="A36" s="107"/>
      <c r="B36" s="142"/>
      <c r="C36" s="142"/>
      <c r="D36" s="107"/>
    </row>
    <row r="37" spans="1:4" ht="13.5">
      <c r="A37" s="107"/>
      <c r="B37" s="142"/>
      <c r="C37" s="142"/>
      <c r="D37" s="107"/>
    </row>
    <row r="38" spans="1:4" ht="13.5">
      <c r="A38" s="107"/>
      <c r="B38" s="142"/>
      <c r="C38" s="142"/>
      <c r="D38" s="107"/>
    </row>
    <row r="39" spans="1:4" ht="13.5">
      <c r="A39" s="107"/>
      <c r="B39" s="142"/>
      <c r="C39" s="142"/>
      <c r="D39" s="107"/>
    </row>
    <row r="40" spans="1:4" ht="13.5">
      <c r="A40" s="107"/>
      <c r="B40" s="142"/>
      <c r="C40" s="142"/>
      <c r="D40" s="107"/>
    </row>
    <row r="41" spans="1:4" ht="13.5">
      <c r="A41" s="107"/>
      <c r="B41" s="142"/>
      <c r="C41" s="142"/>
      <c r="D41" s="107"/>
    </row>
    <row r="42" spans="1:4" ht="13.5">
      <c r="A42" s="107"/>
      <c r="B42" s="142"/>
      <c r="C42" s="143"/>
      <c r="D42" s="107"/>
    </row>
    <row r="43" spans="1:4" ht="13.5">
      <c r="A43" s="107"/>
      <c r="B43" s="144"/>
      <c r="C43" s="142"/>
      <c r="D43" s="107"/>
    </row>
    <row r="44" spans="1:4" ht="13.5">
      <c r="A44" s="107"/>
      <c r="B44" s="142"/>
      <c r="C44" s="143"/>
      <c r="D44" s="107"/>
    </row>
    <row r="45" spans="1:4" ht="13.5">
      <c r="A45" s="107"/>
      <c r="B45" s="107"/>
      <c r="C45" s="107"/>
      <c r="D45" s="107"/>
    </row>
  </sheetData>
  <sheetProtection/>
  <mergeCells count="1">
    <mergeCell ref="B4:F4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438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439</v>
      </c>
      <c r="E7" s="6" t="s">
        <v>97</v>
      </c>
      <c r="F7" s="36">
        <f>(0.55+1)*(0.75+1)*0.85*10</f>
        <v>23.05625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440</v>
      </c>
      <c r="E8" s="6" t="s">
        <v>97</v>
      </c>
      <c r="F8" s="34">
        <f>23.1-3.4</f>
        <v>19.700000000000003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441</v>
      </c>
      <c r="E9" s="6" t="s">
        <v>97</v>
      </c>
      <c r="F9" s="36">
        <f>(0.65*0.85*0.1+(0.55*0.75*0.59+0.4*0.6*0.16))*10</f>
        <v>3.3702500000000004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434</v>
      </c>
      <c r="E10" s="6" t="s">
        <v>393</v>
      </c>
      <c r="F10" s="36">
        <f>0.65*0.85*10</f>
        <v>5.525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423</v>
      </c>
      <c r="E11" s="6" t="s">
        <v>393</v>
      </c>
      <c r="F11" s="9">
        <f>0.65*0.85*10</f>
        <v>5.525</v>
      </c>
      <c r="I11" s="32"/>
      <c r="J11" s="80"/>
    </row>
    <row r="12" spans="2:10" ht="30" customHeight="1">
      <c r="B12" s="5" t="s">
        <v>320</v>
      </c>
      <c r="C12" s="6">
        <v>0</v>
      </c>
      <c r="D12" s="37" t="s">
        <v>442</v>
      </c>
      <c r="E12" s="6" t="s">
        <v>393</v>
      </c>
      <c r="F12" s="9">
        <f>((0.55+0.75)*0.59+(0.25+0.45)*0.49-(0.0825*0.0825*3.14))*2*10</f>
        <v>21.772567499999997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443</v>
      </c>
      <c r="E13" s="6" t="s">
        <v>97</v>
      </c>
      <c r="F13" s="9">
        <f>(0.55*0.75*0.59-(0.25*0.45*0.49+0.0825*0.0825*3.14*0.15))*10</f>
        <v>1.8504425625</v>
      </c>
      <c r="I13" s="32"/>
      <c r="J13" s="80"/>
    </row>
    <row r="14" spans="2:10" ht="30" customHeight="1">
      <c r="B14" s="5" t="s">
        <v>301</v>
      </c>
      <c r="C14" s="6" t="s">
        <v>302</v>
      </c>
      <c r="D14" s="76" t="s">
        <v>426</v>
      </c>
      <c r="E14" s="6" t="s">
        <v>97</v>
      </c>
      <c r="F14" s="81">
        <f>(0.4*0.6-0.25*0.45)*0.01*10</f>
        <v>0.012750000000000001</v>
      </c>
      <c r="I14" s="32"/>
      <c r="J14" s="80"/>
    </row>
    <row r="15" spans="2:10" ht="30" customHeight="1">
      <c r="B15" s="5" t="s">
        <v>427</v>
      </c>
      <c r="C15" s="6" t="s">
        <v>428</v>
      </c>
      <c r="D15" s="78">
        <v>10</v>
      </c>
      <c r="E15" s="6" t="s">
        <v>396</v>
      </c>
      <c r="F15" s="79">
        <f>10</f>
        <v>10</v>
      </c>
      <c r="I15" s="32"/>
      <c r="J15" s="80"/>
    </row>
    <row r="16" spans="2:10" ht="30" customHeight="1">
      <c r="B16" s="5"/>
      <c r="C16" s="6"/>
      <c r="D16" s="4" t="s">
        <v>444</v>
      </c>
      <c r="E16" s="6"/>
      <c r="F16" s="79"/>
      <c r="I16" s="32"/>
      <c r="J16" s="80"/>
    </row>
    <row r="17" spans="2:10" ht="30" customHeight="1">
      <c r="B17" s="5"/>
      <c r="C17" s="6"/>
      <c r="D17" s="10"/>
      <c r="E17" s="6"/>
      <c r="F17" s="77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445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446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448</v>
      </c>
      <c r="E7" s="6" t="s">
        <v>97</v>
      </c>
      <c r="F7" s="36">
        <f>(0.25+0.4)*0.35*10</f>
        <v>2.275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449</v>
      </c>
      <c r="E8" s="6" t="s">
        <v>97</v>
      </c>
      <c r="F8" s="34">
        <f>2.3-1</f>
        <v>1.2999999999999998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450</v>
      </c>
      <c r="E9" s="6" t="s">
        <v>97</v>
      </c>
      <c r="F9" s="36">
        <f>(0.38*0.1+0.18*0.03+0.25*0.22-0.04*0.04*0.5*2)*10</f>
        <v>0.9680000000000001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452</v>
      </c>
      <c r="E10" s="6" t="s">
        <v>393</v>
      </c>
      <c r="F10" s="36">
        <f>0.38*10</f>
        <v>3.8</v>
      </c>
      <c r="I10" s="32"/>
      <c r="J10" s="75"/>
    </row>
    <row r="11" spans="2:10" ht="30" customHeight="1">
      <c r="B11" s="5" t="s">
        <v>291</v>
      </c>
      <c r="C11" s="6" t="s">
        <v>380</v>
      </c>
      <c r="D11" s="76" t="s">
        <v>454</v>
      </c>
      <c r="E11" s="6" t="s">
        <v>97</v>
      </c>
      <c r="F11" s="9">
        <f>0.38*0.1*10</f>
        <v>0.38000000000000006</v>
      </c>
      <c r="I11" s="32"/>
      <c r="J11" s="75"/>
    </row>
    <row r="12" spans="2:10" ht="30" customHeight="1">
      <c r="B12" s="5" t="s">
        <v>455</v>
      </c>
      <c r="C12" s="6" t="s">
        <v>456</v>
      </c>
      <c r="D12" s="37">
        <v>10</v>
      </c>
      <c r="E12" s="6" t="s">
        <v>397</v>
      </c>
      <c r="F12" s="9">
        <f>10</f>
        <v>10</v>
      </c>
      <c r="I12" s="32"/>
      <c r="J12" s="75"/>
    </row>
    <row r="13" spans="2:10" ht="30" customHeight="1">
      <c r="B13" s="52"/>
      <c r="C13" s="6"/>
      <c r="D13" s="37"/>
      <c r="E13" s="6"/>
      <c r="F13" s="9"/>
      <c r="I13" s="32"/>
      <c r="J13" s="75"/>
    </row>
    <row r="14" spans="2:10" ht="30" customHeight="1">
      <c r="B14" s="52"/>
      <c r="C14" s="6"/>
      <c r="D14" s="3" t="s">
        <v>457</v>
      </c>
      <c r="E14" s="6"/>
      <c r="F14" s="9"/>
      <c r="I14" s="32"/>
      <c r="J14" s="75"/>
    </row>
    <row r="15" spans="2:10" ht="30" customHeight="1">
      <c r="B15" s="52"/>
      <c r="C15" s="6"/>
      <c r="D15" s="76"/>
      <c r="E15" s="6"/>
      <c r="F15" s="9"/>
      <c r="I15" s="32"/>
      <c r="J15" s="75"/>
    </row>
    <row r="16" spans="2:10" ht="30" customHeight="1">
      <c r="B16" s="5"/>
      <c r="C16" s="6"/>
      <c r="D16" s="37"/>
      <c r="E16" s="6"/>
      <c r="F16" s="38"/>
      <c r="I16" s="32"/>
      <c r="J16" s="75"/>
    </row>
    <row r="17" spans="2:10" ht="30" customHeight="1">
      <c r="B17" s="5"/>
      <c r="C17" s="6"/>
      <c r="D17" s="37"/>
      <c r="E17" s="6"/>
      <c r="F17" s="40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458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446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459</v>
      </c>
      <c r="E7" s="6" t="s">
        <v>97</v>
      </c>
      <c r="F7" s="36">
        <f>(0.33+0.4)*0.42*10</f>
        <v>3.066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460</v>
      </c>
      <c r="E8" s="6" t="s">
        <v>97</v>
      </c>
      <c r="F8" s="34">
        <f>3.1-1.4</f>
        <v>1.7000000000000002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461</v>
      </c>
      <c r="E9" s="6" t="s">
        <v>97</v>
      </c>
      <c r="F9" s="36">
        <f>(0.44*0.1+0.24*0.03+0.33*0.29-0.05*0.05*0.5*2)*10</f>
        <v>1.444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462</v>
      </c>
      <c r="E10" s="6" t="s">
        <v>393</v>
      </c>
      <c r="F10" s="36">
        <f>0.44*10</f>
        <v>4.4</v>
      </c>
      <c r="I10" s="32"/>
      <c r="J10" s="75"/>
    </row>
    <row r="11" spans="2:10" ht="30" customHeight="1">
      <c r="B11" s="5" t="s">
        <v>291</v>
      </c>
      <c r="C11" s="6" t="s">
        <v>380</v>
      </c>
      <c r="D11" s="76" t="s">
        <v>463</v>
      </c>
      <c r="E11" s="6" t="s">
        <v>97</v>
      </c>
      <c r="F11" s="9">
        <f>0.44*0.1*10</f>
        <v>0.44000000000000006</v>
      </c>
      <c r="I11" s="32"/>
      <c r="J11" s="75"/>
    </row>
    <row r="12" spans="2:10" ht="30" customHeight="1">
      <c r="B12" s="5" t="s">
        <v>455</v>
      </c>
      <c r="C12" s="6" t="s">
        <v>464</v>
      </c>
      <c r="D12" s="37">
        <v>10</v>
      </c>
      <c r="E12" s="6" t="s">
        <v>397</v>
      </c>
      <c r="F12" s="9">
        <f>10</f>
        <v>10</v>
      </c>
      <c r="I12" s="32"/>
      <c r="J12" s="75"/>
    </row>
    <row r="13" spans="2:10" ht="30" customHeight="1">
      <c r="B13" s="52"/>
      <c r="C13" s="6"/>
      <c r="D13" s="37"/>
      <c r="E13" s="6"/>
      <c r="F13" s="9"/>
      <c r="I13" s="32"/>
      <c r="J13" s="75"/>
    </row>
    <row r="14" spans="2:10" ht="30" customHeight="1">
      <c r="B14" s="52"/>
      <c r="C14" s="6"/>
      <c r="D14" s="3" t="s">
        <v>457</v>
      </c>
      <c r="E14" s="6"/>
      <c r="F14" s="9"/>
      <c r="I14" s="32"/>
      <c r="J14" s="75"/>
    </row>
    <row r="15" spans="2:10" ht="30" customHeight="1">
      <c r="B15" s="52"/>
      <c r="C15" s="6"/>
      <c r="D15" s="76"/>
      <c r="E15" s="6"/>
      <c r="F15" s="9"/>
      <c r="I15" s="32"/>
      <c r="J15" s="75"/>
    </row>
    <row r="16" spans="2:10" ht="30" customHeight="1">
      <c r="B16" s="5"/>
      <c r="C16" s="6"/>
      <c r="D16" s="37"/>
      <c r="E16" s="6"/>
      <c r="F16" s="38"/>
      <c r="I16" s="32"/>
      <c r="J16" s="75"/>
    </row>
    <row r="17" spans="2:10" ht="30" customHeight="1">
      <c r="B17" s="5"/>
      <c r="C17" s="6"/>
      <c r="D17" s="37"/>
      <c r="E17" s="6"/>
      <c r="F17" s="40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465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466</v>
      </c>
      <c r="E7" s="6" t="s">
        <v>97</v>
      </c>
      <c r="F7" s="36">
        <f>(0.4+0.4)*0.49*10</f>
        <v>3.92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467</v>
      </c>
      <c r="E8" s="6" t="s">
        <v>97</v>
      </c>
      <c r="F8" s="34">
        <f>3.9-2</f>
        <v>1.9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468</v>
      </c>
      <c r="E9" s="6" t="s">
        <v>97</v>
      </c>
      <c r="F9" s="36">
        <f>(0.5*0.1+0.3*0.03+0.4*0.36-0.06*0.06*0.5*2)*10</f>
        <v>1.994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469</v>
      </c>
      <c r="E10" s="6" t="s">
        <v>393</v>
      </c>
      <c r="F10" s="36">
        <f>0.5*10</f>
        <v>5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470</v>
      </c>
      <c r="E11" s="6" t="s">
        <v>97</v>
      </c>
      <c r="F11" s="9">
        <f>0.5*0.1*10</f>
        <v>0.5</v>
      </c>
      <c r="I11" s="32"/>
      <c r="J11" s="75"/>
    </row>
    <row r="12" spans="2:10" ht="30" customHeight="1">
      <c r="B12" s="5" t="s">
        <v>455</v>
      </c>
      <c r="C12" s="6" t="s">
        <v>471</v>
      </c>
      <c r="D12" s="37">
        <v>10</v>
      </c>
      <c r="E12" s="6" t="s">
        <v>397</v>
      </c>
      <c r="F12" s="9">
        <f>10</f>
        <v>10</v>
      </c>
      <c r="I12" s="32"/>
      <c r="J12" s="75"/>
    </row>
    <row r="13" spans="2:10" ht="30" customHeight="1">
      <c r="B13" s="52"/>
      <c r="C13" s="6"/>
      <c r="D13" s="37"/>
      <c r="E13" s="6"/>
      <c r="F13" s="9"/>
      <c r="I13" s="32"/>
      <c r="J13" s="75"/>
    </row>
    <row r="14" spans="2:10" ht="30" customHeight="1">
      <c r="B14" s="52"/>
      <c r="C14" s="6"/>
      <c r="D14" s="3" t="s">
        <v>457</v>
      </c>
      <c r="E14" s="6"/>
      <c r="F14" s="9"/>
      <c r="I14" s="32"/>
      <c r="J14" s="75"/>
    </row>
    <row r="15" spans="2:10" ht="30" customHeight="1">
      <c r="B15" s="52"/>
      <c r="C15" s="6"/>
      <c r="D15" s="76"/>
      <c r="E15" s="6"/>
      <c r="F15" s="9"/>
      <c r="I15" s="32"/>
      <c r="J15" s="75"/>
    </row>
    <row r="16" spans="2:10" ht="30" customHeight="1">
      <c r="B16" s="5"/>
      <c r="C16" s="6"/>
      <c r="D16" s="37"/>
      <c r="E16" s="6"/>
      <c r="F16" s="38"/>
      <c r="I16" s="32"/>
      <c r="J16" s="75"/>
    </row>
    <row r="17" spans="2:10" ht="30" customHeight="1">
      <c r="B17" s="5"/>
      <c r="C17" s="6"/>
      <c r="D17" s="37"/>
      <c r="E17" s="6"/>
      <c r="F17" s="40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472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473</v>
      </c>
      <c r="E7" s="6" t="s">
        <v>97</v>
      </c>
      <c r="F7" s="36">
        <f>(0.46+0.4)*0.555*10</f>
        <v>4.7730000000000015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474</v>
      </c>
      <c r="E8" s="6" t="s">
        <v>97</v>
      </c>
      <c r="F8" s="34">
        <f>4.8-2.6</f>
        <v>2.1999999999999997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475</v>
      </c>
      <c r="E9" s="6" t="s">
        <v>97</v>
      </c>
      <c r="F9" s="36">
        <f>(0.56*0.1+0.36*0.03+0.46*0.425-0.065*0.065*0.5*2)*10</f>
        <v>2.5807500000000005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477</v>
      </c>
      <c r="E10" s="6" t="s">
        <v>393</v>
      </c>
      <c r="F10" s="36">
        <f>0.56*10</f>
        <v>5.6000000000000005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478</v>
      </c>
      <c r="E11" s="6" t="s">
        <v>97</v>
      </c>
      <c r="F11" s="9">
        <f>0.56*0.1*10</f>
        <v>0.56</v>
      </c>
      <c r="I11" s="32"/>
      <c r="J11" s="75"/>
    </row>
    <row r="12" spans="2:10" ht="30" customHeight="1">
      <c r="B12" s="5" t="s">
        <v>455</v>
      </c>
      <c r="C12" s="6" t="s">
        <v>479</v>
      </c>
      <c r="D12" s="37">
        <v>10</v>
      </c>
      <c r="E12" s="6" t="s">
        <v>397</v>
      </c>
      <c r="F12" s="9">
        <f>10</f>
        <v>10</v>
      </c>
      <c r="I12" s="32"/>
      <c r="J12" s="75"/>
    </row>
    <row r="13" spans="2:10" ht="30" customHeight="1">
      <c r="B13" s="52"/>
      <c r="C13" s="6"/>
      <c r="D13" s="37"/>
      <c r="E13" s="6"/>
      <c r="F13" s="9"/>
      <c r="I13" s="32"/>
      <c r="J13" s="75"/>
    </row>
    <row r="14" spans="2:10" ht="30" customHeight="1">
      <c r="B14" s="52"/>
      <c r="C14" s="6"/>
      <c r="D14" s="3" t="s">
        <v>457</v>
      </c>
      <c r="E14" s="6"/>
      <c r="F14" s="9"/>
      <c r="I14" s="32"/>
      <c r="J14" s="75"/>
    </row>
    <row r="15" spans="2:10" ht="30" customHeight="1">
      <c r="B15" s="52"/>
      <c r="C15" s="6"/>
      <c r="D15" s="76"/>
      <c r="E15" s="6"/>
      <c r="F15" s="9"/>
      <c r="I15" s="32"/>
      <c r="J15" s="75"/>
    </row>
    <row r="16" spans="2:10" ht="30" customHeight="1">
      <c r="B16" s="5"/>
      <c r="C16" s="6"/>
      <c r="D16" s="10"/>
      <c r="E16" s="6"/>
      <c r="F16" s="77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480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481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482</v>
      </c>
      <c r="E7" s="6" t="s">
        <v>97</v>
      </c>
      <c r="F7" s="36">
        <f>(0.25+0.4)*0.44*10</f>
        <v>2.8600000000000003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483</v>
      </c>
      <c r="E8" s="6" t="s">
        <v>97</v>
      </c>
      <c r="F8" s="34">
        <f>2.9-1.3</f>
        <v>1.5999999999999999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484</v>
      </c>
      <c r="E9" s="6" t="s">
        <v>97</v>
      </c>
      <c r="F9" s="36">
        <f>(0.38*0.2+0.18*0.02+0.25*0.22-0.04*0.04*0.5*2)*10</f>
        <v>1.3300000000000003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451</v>
      </c>
      <c r="E10" s="6" t="s">
        <v>393</v>
      </c>
      <c r="F10" s="36">
        <f>0.38*10</f>
        <v>3.8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485</v>
      </c>
      <c r="E11" s="6" t="s">
        <v>97</v>
      </c>
      <c r="F11" s="9">
        <f>0.38*0.1*10</f>
        <v>0.38000000000000006</v>
      </c>
      <c r="I11" s="32"/>
      <c r="J11" s="75"/>
    </row>
    <row r="12" spans="2:10" ht="30" customHeight="1">
      <c r="B12" s="5" t="s">
        <v>320</v>
      </c>
      <c r="C12" s="6">
        <v>0</v>
      </c>
      <c r="D12" s="76" t="s">
        <v>486</v>
      </c>
      <c r="E12" s="6" t="s">
        <v>393</v>
      </c>
      <c r="F12" s="9">
        <f>0.1*2*10</f>
        <v>2</v>
      </c>
      <c r="I12" s="32"/>
      <c r="J12" s="75"/>
    </row>
    <row r="13" spans="2:10" ht="30" customHeight="1">
      <c r="B13" s="5" t="s">
        <v>294</v>
      </c>
      <c r="C13" s="6" t="s">
        <v>295</v>
      </c>
      <c r="D13" s="37" t="s">
        <v>453</v>
      </c>
      <c r="E13" s="6" t="s">
        <v>97</v>
      </c>
      <c r="F13" s="9">
        <f>0.38*0.1*10</f>
        <v>0.38000000000000006</v>
      </c>
      <c r="I13" s="32"/>
      <c r="J13" s="75"/>
    </row>
    <row r="14" spans="2:10" ht="30" customHeight="1">
      <c r="B14" s="5" t="s">
        <v>455</v>
      </c>
      <c r="C14" s="6" t="s">
        <v>456</v>
      </c>
      <c r="D14" s="37">
        <v>10</v>
      </c>
      <c r="E14" s="6" t="s">
        <v>397</v>
      </c>
      <c r="F14" s="9">
        <f>10</f>
        <v>10</v>
      </c>
      <c r="I14" s="32"/>
      <c r="J14" s="75"/>
    </row>
    <row r="15" spans="2:10" ht="30" customHeight="1">
      <c r="B15" s="52"/>
      <c r="C15" s="6"/>
      <c r="D15" s="37"/>
      <c r="E15" s="6"/>
      <c r="F15" s="9"/>
      <c r="I15" s="32"/>
      <c r="J15" s="75"/>
    </row>
    <row r="16" spans="2:10" ht="30" customHeight="1">
      <c r="B16" s="52"/>
      <c r="C16" s="6"/>
      <c r="D16" s="3" t="s">
        <v>457</v>
      </c>
      <c r="E16" s="6"/>
      <c r="F16" s="9"/>
      <c r="I16" s="32"/>
      <c r="J16" s="75"/>
    </row>
    <row r="17" spans="2:10" ht="30" customHeight="1">
      <c r="B17" s="52"/>
      <c r="C17" s="6"/>
      <c r="D17" s="76"/>
      <c r="E17" s="6"/>
      <c r="F17" s="9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487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488</v>
      </c>
    </row>
    <row r="5" spans="2:10" ht="20.25" customHeight="1">
      <c r="B5" s="26" t="s">
        <v>59</v>
      </c>
      <c r="C5" s="27" t="s">
        <v>489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490</v>
      </c>
      <c r="E7" s="6" t="s">
        <v>97</v>
      </c>
      <c r="F7" s="36">
        <f>(0.33+0.4)*0.51*10</f>
        <v>3.7230000000000003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491</v>
      </c>
      <c r="E8" s="6" t="s">
        <v>97</v>
      </c>
      <c r="F8" s="34">
        <f>3.7-1.9</f>
        <v>1.8000000000000003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492</v>
      </c>
      <c r="E9" s="6" t="s">
        <v>97</v>
      </c>
      <c r="F9" s="36">
        <f>(0.44*0.2+0.24*0.02+0.33*0.29-0.05*0.05*0.5*2)*10</f>
        <v>1.8599999999999999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462</v>
      </c>
      <c r="E10" s="6" t="s">
        <v>393</v>
      </c>
      <c r="F10" s="36">
        <f>0.44*10</f>
        <v>4.4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463</v>
      </c>
      <c r="E11" s="6" t="s">
        <v>97</v>
      </c>
      <c r="F11" s="9">
        <f>0.44*0.1*10</f>
        <v>0.44000000000000006</v>
      </c>
      <c r="I11" s="32"/>
      <c r="J11" s="75"/>
    </row>
    <row r="12" spans="2:10" ht="30" customHeight="1">
      <c r="B12" s="5" t="s">
        <v>320</v>
      </c>
      <c r="C12" s="6">
        <v>0</v>
      </c>
      <c r="D12" s="76" t="s">
        <v>486</v>
      </c>
      <c r="E12" s="6" t="s">
        <v>393</v>
      </c>
      <c r="F12" s="9">
        <f>0.1*2*10</f>
        <v>2</v>
      </c>
      <c r="I12" s="32"/>
      <c r="J12" s="75"/>
    </row>
    <row r="13" spans="2:10" ht="30" customHeight="1">
      <c r="B13" s="5" t="s">
        <v>294</v>
      </c>
      <c r="C13" s="6" t="s">
        <v>295</v>
      </c>
      <c r="D13" s="37" t="s">
        <v>463</v>
      </c>
      <c r="E13" s="6" t="s">
        <v>97</v>
      </c>
      <c r="F13" s="9">
        <f>0.44*0.1*10</f>
        <v>0.44000000000000006</v>
      </c>
      <c r="I13" s="32"/>
      <c r="J13" s="75"/>
    </row>
    <row r="14" spans="2:10" ht="30" customHeight="1">
      <c r="B14" s="5" t="s">
        <v>455</v>
      </c>
      <c r="C14" s="6" t="s">
        <v>464</v>
      </c>
      <c r="D14" s="37">
        <v>10</v>
      </c>
      <c r="E14" s="6" t="s">
        <v>397</v>
      </c>
      <c r="F14" s="9">
        <f>10</f>
        <v>10</v>
      </c>
      <c r="I14" s="32"/>
      <c r="J14" s="75"/>
    </row>
    <row r="15" spans="2:10" ht="30" customHeight="1">
      <c r="B15" s="52"/>
      <c r="C15" s="6"/>
      <c r="D15" s="37"/>
      <c r="E15" s="6"/>
      <c r="F15" s="9"/>
      <c r="I15" s="32"/>
      <c r="J15" s="75"/>
    </row>
    <row r="16" spans="2:10" ht="30" customHeight="1">
      <c r="B16" s="52"/>
      <c r="C16" s="6"/>
      <c r="D16" s="3" t="s">
        <v>457</v>
      </c>
      <c r="E16" s="6"/>
      <c r="F16" s="9"/>
      <c r="I16" s="32"/>
      <c r="J16" s="75"/>
    </row>
    <row r="17" spans="2:10" ht="30" customHeight="1">
      <c r="B17" s="52"/>
      <c r="C17" s="6"/>
      <c r="D17" s="76"/>
      <c r="E17" s="6"/>
      <c r="F17" s="9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493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494</v>
      </c>
      <c r="E7" s="6" t="s">
        <v>97</v>
      </c>
      <c r="F7" s="36">
        <f>(0.4+0.4)*0.58*10</f>
        <v>4.64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495</v>
      </c>
      <c r="E8" s="6" t="s">
        <v>97</v>
      </c>
      <c r="F8" s="34">
        <f>4.6-2.5</f>
        <v>2.0999999999999996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496</v>
      </c>
      <c r="E9" s="6" t="s">
        <v>97</v>
      </c>
      <c r="F9" s="36">
        <f>(0.5*0.2+0.3*0.02+0.4*0.36-0.06*0.06*0.5*2)*10</f>
        <v>2.464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469</v>
      </c>
      <c r="E10" s="6" t="s">
        <v>393</v>
      </c>
      <c r="F10" s="36">
        <f>0.5*10</f>
        <v>5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470</v>
      </c>
      <c r="E11" s="6" t="s">
        <v>97</v>
      </c>
      <c r="F11" s="9">
        <f>0.5*0.1*10</f>
        <v>0.5</v>
      </c>
      <c r="I11" s="32"/>
      <c r="J11" s="75"/>
    </row>
    <row r="12" spans="2:10" ht="30" customHeight="1">
      <c r="B12" s="5" t="s">
        <v>320</v>
      </c>
      <c r="C12" s="6">
        <v>0</v>
      </c>
      <c r="D12" s="76" t="s">
        <v>486</v>
      </c>
      <c r="E12" s="6" t="s">
        <v>393</v>
      </c>
      <c r="F12" s="9">
        <f>0.1*2*10</f>
        <v>2</v>
      </c>
      <c r="I12" s="32"/>
      <c r="J12" s="75"/>
    </row>
    <row r="13" spans="2:10" ht="30" customHeight="1">
      <c r="B13" s="5" t="s">
        <v>294</v>
      </c>
      <c r="C13" s="6" t="s">
        <v>295</v>
      </c>
      <c r="D13" s="37" t="s">
        <v>470</v>
      </c>
      <c r="E13" s="6" t="s">
        <v>97</v>
      </c>
      <c r="F13" s="9">
        <f>0.5*0.1*10</f>
        <v>0.5</v>
      </c>
      <c r="I13" s="32"/>
      <c r="J13" s="75"/>
    </row>
    <row r="14" spans="2:10" ht="30" customHeight="1">
      <c r="B14" s="5" t="s">
        <v>455</v>
      </c>
      <c r="C14" s="6" t="s">
        <v>471</v>
      </c>
      <c r="D14" s="37">
        <v>10</v>
      </c>
      <c r="E14" s="6" t="s">
        <v>397</v>
      </c>
      <c r="F14" s="9">
        <f>10</f>
        <v>10</v>
      </c>
      <c r="I14" s="32"/>
      <c r="J14" s="75"/>
    </row>
    <row r="15" spans="2:10" ht="30" customHeight="1">
      <c r="B15" s="52"/>
      <c r="C15" s="6"/>
      <c r="D15" s="37"/>
      <c r="E15" s="6"/>
      <c r="F15" s="9"/>
      <c r="I15" s="32"/>
      <c r="J15" s="75"/>
    </row>
    <row r="16" spans="2:10" ht="30" customHeight="1">
      <c r="B16" s="52"/>
      <c r="C16" s="6"/>
      <c r="D16" s="3" t="s">
        <v>457</v>
      </c>
      <c r="E16" s="6"/>
      <c r="F16" s="9"/>
      <c r="I16" s="32"/>
      <c r="J16" s="75"/>
    </row>
    <row r="17" spans="2:10" ht="30" customHeight="1">
      <c r="B17" s="52"/>
      <c r="C17" s="6"/>
      <c r="D17" s="76"/>
      <c r="E17" s="6"/>
      <c r="F17" s="9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497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498</v>
      </c>
      <c r="E7" s="6" t="s">
        <v>97</v>
      </c>
      <c r="F7" s="36">
        <f>(0.46+0.4)*0.645*10</f>
        <v>5.547000000000001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499</v>
      </c>
      <c r="E8" s="6" t="s">
        <v>97</v>
      </c>
      <c r="F8" s="34">
        <f>5.5-3.1</f>
        <v>2.4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500</v>
      </c>
      <c r="E9" s="6" t="s">
        <v>97</v>
      </c>
      <c r="F9" s="36">
        <f>(0.56*0.2+0.36*0.02+0.46*0.425-0.065*0.065*0.5*2)*10</f>
        <v>3.1047500000000006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476</v>
      </c>
      <c r="E10" s="6" t="s">
        <v>393</v>
      </c>
      <c r="F10" s="36">
        <f>0.56*10</f>
        <v>5.6000000000000005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478</v>
      </c>
      <c r="E11" s="6" t="s">
        <v>97</v>
      </c>
      <c r="F11" s="9">
        <f>0.56*0.1*10</f>
        <v>0.56</v>
      </c>
      <c r="I11" s="32"/>
      <c r="J11" s="75"/>
    </row>
    <row r="12" spans="2:10" ht="30" customHeight="1">
      <c r="B12" s="5" t="s">
        <v>320</v>
      </c>
      <c r="C12" s="6">
        <v>0</v>
      </c>
      <c r="D12" s="76" t="s">
        <v>486</v>
      </c>
      <c r="E12" s="6" t="s">
        <v>393</v>
      </c>
      <c r="F12" s="9">
        <f>0.1*2*10</f>
        <v>2</v>
      </c>
      <c r="I12" s="32"/>
      <c r="J12" s="75"/>
    </row>
    <row r="13" spans="2:10" ht="30" customHeight="1">
      <c r="B13" s="5" t="s">
        <v>294</v>
      </c>
      <c r="C13" s="6" t="s">
        <v>295</v>
      </c>
      <c r="D13" s="37" t="s">
        <v>478</v>
      </c>
      <c r="E13" s="6" t="s">
        <v>97</v>
      </c>
      <c r="F13" s="9">
        <f>0.56*0.1*10</f>
        <v>0.56</v>
      </c>
      <c r="I13" s="32"/>
      <c r="J13" s="75"/>
    </row>
    <row r="14" spans="2:10" ht="30" customHeight="1">
      <c r="B14" s="5" t="s">
        <v>455</v>
      </c>
      <c r="C14" s="6" t="s">
        <v>479</v>
      </c>
      <c r="D14" s="37">
        <v>10</v>
      </c>
      <c r="E14" s="6" t="s">
        <v>397</v>
      </c>
      <c r="F14" s="9">
        <f>10</f>
        <v>10</v>
      </c>
      <c r="I14" s="32"/>
      <c r="J14" s="75"/>
    </row>
    <row r="15" spans="2:10" ht="30" customHeight="1">
      <c r="B15" s="52"/>
      <c r="C15" s="6"/>
      <c r="D15" s="37"/>
      <c r="E15" s="6"/>
      <c r="F15" s="9"/>
      <c r="I15" s="32"/>
      <c r="J15" s="75"/>
    </row>
    <row r="16" spans="2:10" ht="30" customHeight="1">
      <c r="B16" s="52"/>
      <c r="C16" s="6"/>
      <c r="D16" s="3" t="s">
        <v>457</v>
      </c>
      <c r="E16" s="6"/>
      <c r="F16" s="9"/>
      <c r="I16" s="32"/>
      <c r="J16" s="75"/>
    </row>
    <row r="17" spans="2:10" ht="30" customHeight="1">
      <c r="B17" s="52"/>
      <c r="C17" s="6"/>
      <c r="D17" s="76"/>
      <c r="E17" s="6"/>
      <c r="F17" s="9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501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502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448</v>
      </c>
      <c r="E7" s="6" t="s">
        <v>97</v>
      </c>
      <c r="F7" s="36">
        <f>(0.25+0.4)*0.35*10</f>
        <v>2.275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503</v>
      </c>
      <c r="E8" s="6" t="s">
        <v>97</v>
      </c>
      <c r="F8" s="34">
        <f>2.3-1.1</f>
        <v>1.1999999999999997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504</v>
      </c>
      <c r="E9" s="6" t="s">
        <v>97</v>
      </c>
      <c r="F9" s="36">
        <f>(0.38*0.1+0.18*0.03+0.25*0.22-0.04*0.04*0.5*2+0.1*0.1)*10</f>
        <v>1.068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505</v>
      </c>
      <c r="E10" s="6" t="s">
        <v>393</v>
      </c>
      <c r="F10" s="36">
        <f>0.38*10</f>
        <v>3.8</v>
      </c>
      <c r="I10" s="32"/>
      <c r="J10" s="80"/>
    </row>
    <row r="11" spans="2:10" ht="30" customHeight="1">
      <c r="B11" s="5" t="s">
        <v>291</v>
      </c>
      <c r="C11" s="6" t="s">
        <v>380</v>
      </c>
      <c r="D11" s="76" t="s">
        <v>453</v>
      </c>
      <c r="E11" s="6" t="s">
        <v>97</v>
      </c>
      <c r="F11" s="9">
        <f>0.38*0.1*10</f>
        <v>0.38000000000000006</v>
      </c>
      <c r="I11" s="32"/>
      <c r="J11" s="80"/>
    </row>
    <row r="12" spans="2:10" ht="30" customHeight="1">
      <c r="B12" s="5" t="s">
        <v>455</v>
      </c>
      <c r="C12" s="6" t="s">
        <v>506</v>
      </c>
      <c r="D12" s="37">
        <v>10</v>
      </c>
      <c r="E12" s="6" t="s">
        <v>397</v>
      </c>
      <c r="F12" s="9">
        <f>10</f>
        <v>10</v>
      </c>
      <c r="I12" s="32"/>
      <c r="J12" s="80"/>
    </row>
    <row r="13" spans="2:10" ht="30" customHeight="1">
      <c r="B13" s="5" t="s">
        <v>507</v>
      </c>
      <c r="C13" s="6"/>
      <c r="D13" s="37" t="s">
        <v>509</v>
      </c>
      <c r="E13" s="6" t="s">
        <v>97</v>
      </c>
      <c r="F13" s="9">
        <f>0.1*0.1*10/0.9</f>
        <v>0.11111111111111113</v>
      </c>
      <c r="I13" s="32"/>
      <c r="J13" s="80"/>
    </row>
    <row r="14" spans="2:10" ht="30" customHeight="1">
      <c r="B14" s="5" t="s">
        <v>510</v>
      </c>
      <c r="C14" s="6"/>
      <c r="D14" s="3" t="s">
        <v>512</v>
      </c>
      <c r="E14" s="6" t="s">
        <v>97</v>
      </c>
      <c r="F14" s="9">
        <f>0.1*0.1*10</f>
        <v>0.10000000000000002</v>
      </c>
      <c r="I14" s="32"/>
      <c r="J14" s="80"/>
    </row>
    <row r="15" spans="2:10" ht="30" customHeight="1">
      <c r="B15" s="52"/>
      <c r="C15" s="6"/>
      <c r="D15" s="76"/>
      <c r="E15" s="6"/>
      <c r="F15" s="9"/>
      <c r="I15" s="32"/>
      <c r="J15" s="80"/>
    </row>
    <row r="16" spans="2:10" ht="30" customHeight="1">
      <c r="B16" s="5"/>
      <c r="C16" s="6"/>
      <c r="D16" s="3" t="s">
        <v>457</v>
      </c>
      <c r="E16" s="6"/>
      <c r="F16" s="38"/>
      <c r="I16" s="32"/>
      <c r="J16" s="80"/>
    </row>
    <row r="17" spans="2:10" ht="30" customHeight="1">
      <c r="B17" s="5"/>
      <c r="C17" s="6"/>
      <c r="D17" s="37"/>
      <c r="E17" s="6"/>
      <c r="F17" s="40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workbookViewId="0" topLeftCell="A25">
      <selection activeCell="B26" sqref="B26"/>
    </sheetView>
  </sheetViews>
  <sheetFormatPr defaultColWidth="9.00390625" defaultRowHeight="13.5"/>
  <cols>
    <col min="1" max="1" width="2.00390625" style="0" customWidth="1"/>
    <col min="2" max="2" width="13.50390625" style="0" customWidth="1"/>
    <col min="3" max="3" width="15.125" style="0" customWidth="1"/>
    <col min="4" max="4" width="45.125" style="0" customWidth="1"/>
    <col min="5" max="5" width="4.625" style="0" customWidth="1"/>
    <col min="6" max="6" width="12.875" style="0" customWidth="1"/>
    <col min="7" max="7" width="1.4921875" style="0" customWidth="1"/>
    <col min="8" max="8" width="5.25390625" style="0" customWidth="1"/>
    <col min="9" max="9" width="9.125" style="0" bestFit="1" customWidth="1"/>
    <col min="10" max="10" width="9.875" style="0" bestFit="1" customWidth="1"/>
  </cols>
  <sheetData>
    <row r="1" ht="27" customHeight="1" thickBot="1">
      <c r="F1" s="99" t="s">
        <v>58</v>
      </c>
    </row>
    <row r="2" spans="2:6" ht="27.75" customHeight="1">
      <c r="B2" s="100" t="s">
        <v>65</v>
      </c>
      <c r="C2" s="101"/>
      <c r="D2" s="101"/>
      <c r="E2" s="101"/>
      <c r="F2" s="102"/>
    </row>
    <row r="3" spans="1:6" ht="22.5" customHeight="1">
      <c r="A3" s="103"/>
      <c r="B3" s="104" t="s">
        <v>1265</v>
      </c>
      <c r="C3" s="105"/>
      <c r="D3" s="106"/>
      <c r="E3" s="107"/>
      <c r="F3" s="108"/>
    </row>
    <row r="4" spans="2:6" ht="1.5" customHeight="1">
      <c r="B4" s="109"/>
      <c r="C4" s="110"/>
      <c r="D4" s="110"/>
      <c r="E4" s="110"/>
      <c r="F4" s="111"/>
    </row>
    <row r="5" spans="2:6" ht="25.5" customHeight="1">
      <c r="B5" s="112"/>
      <c r="C5" s="113"/>
      <c r="D5" s="113"/>
      <c r="E5" s="7">
        <v>10</v>
      </c>
      <c r="F5" s="8" t="s">
        <v>1130</v>
      </c>
    </row>
    <row r="6" spans="2:10" ht="20.25" customHeight="1">
      <c r="B6" s="114" t="s">
        <v>59</v>
      </c>
      <c r="C6" s="115" t="s">
        <v>60</v>
      </c>
      <c r="D6" s="115" t="s">
        <v>63</v>
      </c>
      <c r="E6" s="115" t="s">
        <v>61</v>
      </c>
      <c r="F6" s="116" t="s">
        <v>62</v>
      </c>
      <c r="I6" s="117"/>
      <c r="J6" s="117"/>
    </row>
    <row r="7" spans="2:6" ht="1.5" customHeight="1">
      <c r="B7" s="118"/>
      <c r="C7" s="119"/>
      <c r="D7" s="119"/>
      <c r="E7" s="119"/>
      <c r="F7" s="120"/>
    </row>
    <row r="8" spans="2:10" ht="30" customHeight="1">
      <c r="B8" s="121" t="s">
        <v>1131</v>
      </c>
      <c r="C8" s="122"/>
      <c r="D8" s="123" t="s">
        <v>1266</v>
      </c>
      <c r="E8" s="122" t="s">
        <v>1247</v>
      </c>
      <c r="F8" s="124">
        <f>(0.57+0.4)*0.55*10</f>
        <v>5.335</v>
      </c>
      <c r="I8" s="125"/>
      <c r="J8" s="126"/>
    </row>
    <row r="9" spans="2:10" ht="30" customHeight="1">
      <c r="B9" s="121" t="s">
        <v>1134</v>
      </c>
      <c r="C9" s="127"/>
      <c r="D9" s="123" t="s">
        <v>1267</v>
      </c>
      <c r="E9" s="122" t="s">
        <v>1247</v>
      </c>
      <c r="F9" s="124">
        <f>5.3-2.9</f>
        <v>2.4</v>
      </c>
      <c r="I9" s="125"/>
      <c r="J9" s="126"/>
    </row>
    <row r="10" spans="2:10" ht="30" customHeight="1">
      <c r="B10" s="121" t="s">
        <v>1137</v>
      </c>
      <c r="C10" s="128"/>
      <c r="D10" s="123" t="s">
        <v>1268</v>
      </c>
      <c r="E10" s="122" t="s">
        <v>1247</v>
      </c>
      <c r="F10" s="124">
        <f>(0.67*0.2+0.57*0.15+0.37*0.2)*10</f>
        <v>2.9349999999999996</v>
      </c>
      <c r="I10" s="125"/>
      <c r="J10" s="126"/>
    </row>
    <row r="11" spans="2:10" ht="30" customHeight="1">
      <c r="B11" s="121" t="s">
        <v>1139</v>
      </c>
      <c r="C11" s="122"/>
      <c r="D11" s="123" t="s">
        <v>1269</v>
      </c>
      <c r="E11" s="122" t="s">
        <v>1270</v>
      </c>
      <c r="F11" s="124">
        <f>0.67*10</f>
        <v>6.7</v>
      </c>
      <c r="I11" s="125"/>
      <c r="J11" s="126"/>
    </row>
    <row r="12" spans="2:10" ht="30" customHeight="1">
      <c r="B12" s="121" t="s">
        <v>1144</v>
      </c>
      <c r="C12" s="129" t="s">
        <v>1145</v>
      </c>
      <c r="D12" s="123" t="s">
        <v>1140</v>
      </c>
      <c r="E12" s="122" t="s">
        <v>1142</v>
      </c>
      <c r="F12" s="130">
        <f>0.67*10</f>
        <v>6.7</v>
      </c>
      <c r="I12" s="125"/>
      <c r="J12" s="126"/>
    </row>
    <row r="13" spans="2:10" ht="30" customHeight="1">
      <c r="B13" s="121" t="s">
        <v>1147</v>
      </c>
      <c r="C13" s="122"/>
      <c r="D13" s="123" t="s">
        <v>1148</v>
      </c>
      <c r="E13" s="122" t="s">
        <v>1142</v>
      </c>
      <c r="F13" s="130">
        <f>(0.67*0.05+0.05*10)*2</f>
        <v>1.067</v>
      </c>
      <c r="I13" s="125"/>
      <c r="J13" s="126"/>
    </row>
    <row r="14" spans="2:10" ht="30" customHeight="1">
      <c r="B14" s="121" t="s">
        <v>1149</v>
      </c>
      <c r="C14" s="131" t="s">
        <v>1150</v>
      </c>
      <c r="D14" s="123" t="s">
        <v>1152</v>
      </c>
      <c r="E14" s="122" t="s">
        <v>1154</v>
      </c>
      <c r="F14" s="130">
        <f>0.67*0.05*10</f>
        <v>0.335</v>
      </c>
      <c r="I14" s="125"/>
      <c r="J14" s="126"/>
    </row>
    <row r="15" spans="2:10" ht="30" customHeight="1">
      <c r="B15" s="121" t="s">
        <v>1156</v>
      </c>
      <c r="C15" s="122"/>
      <c r="D15" s="123" t="s">
        <v>1157</v>
      </c>
      <c r="E15" s="122" t="s">
        <v>1154</v>
      </c>
      <c r="F15" s="130">
        <f>(0.15*0.57+0.15*10)*2</f>
        <v>3.171</v>
      </c>
      <c r="I15" s="125"/>
      <c r="J15" s="126"/>
    </row>
    <row r="16" spans="2:10" ht="30" customHeight="1">
      <c r="B16" s="121" t="s">
        <v>1159</v>
      </c>
      <c r="C16" s="131" t="s">
        <v>1221</v>
      </c>
      <c r="D16" s="123" t="s">
        <v>1161</v>
      </c>
      <c r="E16" s="122" t="s">
        <v>97</v>
      </c>
      <c r="F16" s="130">
        <f>0.57*0.15*10</f>
        <v>0.855</v>
      </c>
      <c r="I16" s="125"/>
      <c r="J16" s="126"/>
    </row>
    <row r="17" spans="2:10" ht="30" customHeight="1">
      <c r="B17" s="121" t="s">
        <v>1163</v>
      </c>
      <c r="C17" s="122"/>
      <c r="D17" s="123" t="s">
        <v>1164</v>
      </c>
      <c r="E17" s="122" t="s">
        <v>97</v>
      </c>
      <c r="F17" s="130">
        <f>0.25*0.2*10</f>
        <v>0.5</v>
      </c>
      <c r="I17" s="125"/>
      <c r="J17" s="126"/>
    </row>
    <row r="18" spans="2:10" ht="30" customHeight="1">
      <c r="B18" s="121" t="s">
        <v>1166</v>
      </c>
      <c r="C18" s="131"/>
      <c r="D18" s="123" t="s">
        <v>1167</v>
      </c>
      <c r="E18" s="122" t="s">
        <v>97</v>
      </c>
      <c r="F18" s="130">
        <f>0.2*0.15*2+0.15*10</f>
        <v>1.56</v>
      </c>
      <c r="I18" s="125"/>
      <c r="J18" s="126"/>
    </row>
    <row r="19" spans="2:10" ht="30" customHeight="1">
      <c r="B19" s="121" t="s">
        <v>1169</v>
      </c>
      <c r="C19" s="131" t="s">
        <v>1150</v>
      </c>
      <c r="D19" s="123" t="s">
        <v>1170</v>
      </c>
      <c r="E19" s="122" t="s">
        <v>97</v>
      </c>
      <c r="F19" s="130">
        <f>0.15*0.2*10</f>
        <v>0.3</v>
      </c>
      <c r="I19" s="125"/>
      <c r="J19" s="126"/>
    </row>
    <row r="20" spans="2:10" ht="30" customHeight="1">
      <c r="B20" s="121" t="s">
        <v>1172</v>
      </c>
      <c r="C20" s="129" t="s">
        <v>1173</v>
      </c>
      <c r="D20" s="123" t="s">
        <v>1271</v>
      </c>
      <c r="E20" s="122" t="s">
        <v>1176</v>
      </c>
      <c r="F20" s="130">
        <f>1.09*25*0.995</f>
        <v>27.113750000000003</v>
      </c>
      <c r="I20" s="125"/>
      <c r="J20" s="126"/>
    </row>
    <row r="21" spans="2:10" ht="30" customHeight="1">
      <c r="B21" s="121" t="s">
        <v>1178</v>
      </c>
      <c r="C21" s="122"/>
      <c r="D21" s="123" t="s">
        <v>1179</v>
      </c>
      <c r="E21" s="122" t="s">
        <v>1176</v>
      </c>
      <c r="F21" s="130">
        <f>9*10*0.56</f>
        <v>50.400000000000006</v>
      </c>
      <c r="I21" s="125"/>
      <c r="J21" s="126"/>
    </row>
    <row r="22" spans="2:10" ht="30" customHeight="1">
      <c r="B22" s="121" t="s">
        <v>1272</v>
      </c>
      <c r="C22" s="122"/>
      <c r="D22" s="123" t="s">
        <v>834</v>
      </c>
      <c r="E22" s="122" t="s">
        <v>1142</v>
      </c>
      <c r="F22" s="130">
        <f>0.15*10</f>
        <v>1.5</v>
      </c>
      <c r="I22" s="125"/>
      <c r="J22" s="126"/>
    </row>
    <row r="23" spans="2:10" ht="30" customHeight="1">
      <c r="B23" s="121" t="s">
        <v>1184</v>
      </c>
      <c r="C23" s="122"/>
      <c r="D23" s="123" t="s">
        <v>1273</v>
      </c>
      <c r="E23" s="122" t="s">
        <v>1186</v>
      </c>
      <c r="F23" s="130">
        <f>10*0.4/2*0.15</f>
        <v>0.3</v>
      </c>
      <c r="I23" s="125"/>
      <c r="J23" s="126"/>
    </row>
    <row r="24" spans="2:10" ht="30" customHeight="1">
      <c r="B24" s="121" t="s">
        <v>1188</v>
      </c>
      <c r="C24" s="122"/>
      <c r="D24" s="123" t="s">
        <v>1274</v>
      </c>
      <c r="E24" s="122" t="s">
        <v>1142</v>
      </c>
      <c r="F24" s="130">
        <f>0.1*0.1*(0.4*10/2)</f>
        <v>0.020000000000000004</v>
      </c>
      <c r="I24" s="125"/>
      <c r="J24" s="126"/>
    </row>
    <row r="25" spans="2:10" ht="30" customHeight="1">
      <c r="B25" s="121" t="s">
        <v>1275</v>
      </c>
      <c r="C25" s="122"/>
      <c r="D25" s="123" t="s">
        <v>1191</v>
      </c>
      <c r="E25" s="122" t="s">
        <v>1193</v>
      </c>
      <c r="F25" s="124">
        <f>25*3</f>
        <v>75</v>
      </c>
      <c r="I25" s="125"/>
      <c r="J25" s="126"/>
    </row>
    <row r="26" spans="2:10" ht="30" customHeight="1">
      <c r="B26" s="121" t="s">
        <v>1194</v>
      </c>
      <c r="C26" s="128" t="s">
        <v>1195</v>
      </c>
      <c r="D26" s="123" t="s">
        <v>1197</v>
      </c>
      <c r="E26" s="122" t="s">
        <v>1133</v>
      </c>
      <c r="F26" s="145">
        <f>(24*0.6+10*2)*0.025*0.01+(0.11+0.15)*0.5*0.02*10</f>
        <v>0.034600000000000006</v>
      </c>
      <c r="I26" s="125"/>
      <c r="J26" s="126"/>
    </row>
    <row r="27" spans="2:10" ht="30" customHeight="1">
      <c r="B27" s="121" t="s">
        <v>1200</v>
      </c>
      <c r="C27" s="131" t="s">
        <v>1221</v>
      </c>
      <c r="D27" s="123" t="s">
        <v>1202</v>
      </c>
      <c r="E27" s="122" t="s">
        <v>1133</v>
      </c>
      <c r="F27" s="130">
        <f>0.15*0.6*10*0.586</f>
        <v>0.5273999999999999</v>
      </c>
      <c r="I27" s="125"/>
      <c r="J27" s="126"/>
    </row>
    <row r="28" spans="2:10" ht="30" customHeight="1">
      <c r="B28" s="121"/>
      <c r="C28" s="122"/>
      <c r="D28" s="123"/>
      <c r="E28" s="122"/>
      <c r="F28" s="146"/>
      <c r="I28" s="125"/>
      <c r="J28" s="126"/>
    </row>
    <row r="29" spans="2:10" ht="30" customHeight="1">
      <c r="B29" s="121"/>
      <c r="C29" s="122"/>
      <c r="D29" s="135"/>
      <c r="E29" s="122"/>
      <c r="F29" s="136"/>
      <c r="I29" s="125"/>
      <c r="J29" s="126"/>
    </row>
    <row r="30" spans="2:10" ht="30" customHeight="1" thickBot="1">
      <c r="B30" s="137"/>
      <c r="C30" s="138"/>
      <c r="D30" s="139"/>
      <c r="E30" s="138"/>
      <c r="F30" s="140"/>
      <c r="I30" s="125"/>
      <c r="J30" s="126"/>
    </row>
    <row r="32" spans="9:10" ht="13.5">
      <c r="I32" s="117"/>
      <c r="J32" s="141"/>
    </row>
    <row r="33" spans="1:4" ht="13.5">
      <c r="A33" s="107"/>
      <c r="B33" s="107"/>
      <c r="C33" s="107"/>
      <c r="D33" s="107"/>
    </row>
    <row r="34" spans="1:4" ht="13.5">
      <c r="A34" s="107"/>
      <c r="B34" s="142"/>
      <c r="C34" s="142"/>
      <c r="D34" s="107"/>
    </row>
    <row r="35" spans="1:4" ht="13.5">
      <c r="A35" s="107"/>
      <c r="B35" s="142"/>
      <c r="C35" s="142"/>
      <c r="D35" s="107"/>
    </row>
    <row r="36" spans="1:4" ht="13.5">
      <c r="A36" s="107"/>
      <c r="B36" s="142"/>
      <c r="C36" s="142"/>
      <c r="D36" s="107"/>
    </row>
    <row r="37" spans="1:4" ht="13.5">
      <c r="A37" s="107"/>
      <c r="B37" s="142"/>
      <c r="C37" s="142"/>
      <c r="D37" s="107"/>
    </row>
    <row r="38" spans="1:4" ht="13.5">
      <c r="A38" s="107"/>
      <c r="B38" s="142"/>
      <c r="C38" s="142"/>
      <c r="D38" s="107"/>
    </row>
    <row r="39" spans="1:4" ht="13.5">
      <c r="A39" s="107"/>
      <c r="B39" s="142"/>
      <c r="C39" s="142"/>
      <c r="D39" s="107"/>
    </row>
    <row r="40" spans="1:4" ht="13.5">
      <c r="A40" s="107"/>
      <c r="B40" s="142"/>
      <c r="C40" s="142"/>
      <c r="D40" s="107"/>
    </row>
    <row r="41" spans="1:4" ht="13.5">
      <c r="A41" s="107"/>
      <c r="B41" s="142"/>
      <c r="C41" s="142"/>
      <c r="D41" s="107"/>
    </row>
    <row r="42" spans="1:4" ht="13.5">
      <c r="A42" s="107"/>
      <c r="B42" s="142"/>
      <c r="C42" s="143"/>
      <c r="D42" s="107"/>
    </row>
    <row r="43" spans="1:4" ht="13.5">
      <c r="A43" s="107"/>
      <c r="B43" s="144"/>
      <c r="C43" s="142"/>
      <c r="D43" s="107"/>
    </row>
    <row r="44" spans="1:4" ht="13.5">
      <c r="A44" s="107"/>
      <c r="B44" s="142"/>
      <c r="C44" s="143"/>
      <c r="D44" s="107"/>
    </row>
    <row r="45" spans="1:4" ht="13.5">
      <c r="A45" s="107"/>
      <c r="B45" s="107"/>
      <c r="C45" s="107"/>
      <c r="D45" s="107"/>
    </row>
  </sheetData>
  <sheetProtection/>
  <mergeCells count="1">
    <mergeCell ref="B4:F4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513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514</v>
      </c>
      <c r="E7" s="6" t="s">
        <v>97</v>
      </c>
      <c r="F7" s="36">
        <f>(0.33+0.4)*0.42*10</f>
        <v>3.066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515</v>
      </c>
      <c r="E8" s="6" t="s">
        <v>97</v>
      </c>
      <c r="F8" s="34">
        <f>3.1-1.6</f>
        <v>1.5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516</v>
      </c>
      <c r="E9" s="6" t="s">
        <v>97</v>
      </c>
      <c r="F9" s="36">
        <f>(0.44*0.1+0.24*0.03+0.33*0.29-0.05*0.05*0.5*2+(0.1+0.104)/2*0.16)*10</f>
        <v>1.6072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517</v>
      </c>
      <c r="E10" s="6" t="s">
        <v>393</v>
      </c>
      <c r="F10" s="36">
        <f>0.44*10</f>
        <v>4.4</v>
      </c>
      <c r="I10" s="32"/>
      <c r="J10" s="80"/>
    </row>
    <row r="11" spans="2:10" ht="30" customHeight="1">
      <c r="B11" s="5" t="s">
        <v>291</v>
      </c>
      <c r="C11" s="6" t="s">
        <v>380</v>
      </c>
      <c r="D11" s="76" t="s">
        <v>518</v>
      </c>
      <c r="E11" s="6" t="s">
        <v>97</v>
      </c>
      <c r="F11" s="9">
        <f>0.44*0.1*10</f>
        <v>0.44000000000000006</v>
      </c>
      <c r="I11" s="32"/>
      <c r="J11" s="80"/>
    </row>
    <row r="12" spans="2:10" ht="30" customHeight="1">
      <c r="B12" s="5" t="s">
        <v>455</v>
      </c>
      <c r="C12" s="6" t="s">
        <v>506</v>
      </c>
      <c r="D12" s="37">
        <v>10</v>
      </c>
      <c r="E12" s="6" t="s">
        <v>397</v>
      </c>
      <c r="F12" s="9">
        <f>10</f>
        <v>10</v>
      </c>
      <c r="I12" s="32"/>
      <c r="J12" s="80"/>
    </row>
    <row r="13" spans="2:10" ht="30" customHeight="1">
      <c r="B13" s="5" t="s">
        <v>507</v>
      </c>
      <c r="C13" s="6"/>
      <c r="D13" s="37" t="s">
        <v>519</v>
      </c>
      <c r="E13" s="6" t="s">
        <v>97</v>
      </c>
      <c r="F13" s="9">
        <f>(0.1+0.104)/2*0.16*10/0.9</f>
        <v>0.18133333333333335</v>
      </c>
      <c r="I13" s="32"/>
      <c r="J13" s="80"/>
    </row>
    <row r="14" spans="2:10" ht="30" customHeight="1">
      <c r="B14" s="5" t="s">
        <v>510</v>
      </c>
      <c r="C14" s="6"/>
      <c r="D14" s="3" t="s">
        <v>521</v>
      </c>
      <c r="E14" s="6" t="s">
        <v>97</v>
      </c>
      <c r="F14" s="9">
        <f>(0.1+0.104)/2*0.16*10</f>
        <v>0.1632</v>
      </c>
      <c r="I14" s="32"/>
      <c r="J14" s="80"/>
    </row>
    <row r="15" spans="2:10" ht="30" customHeight="1">
      <c r="B15" s="52"/>
      <c r="C15" s="6"/>
      <c r="D15" s="76"/>
      <c r="E15" s="6"/>
      <c r="F15" s="9"/>
      <c r="I15" s="32"/>
      <c r="J15" s="80"/>
    </row>
    <row r="16" spans="2:10" ht="30" customHeight="1">
      <c r="B16" s="5"/>
      <c r="C16" s="6"/>
      <c r="D16" s="3" t="s">
        <v>457</v>
      </c>
      <c r="E16" s="6"/>
      <c r="F16" s="38"/>
      <c r="I16" s="32"/>
      <c r="J16" s="80"/>
    </row>
    <row r="17" spans="2:10" ht="30" customHeight="1">
      <c r="B17" s="5"/>
      <c r="C17" s="6"/>
      <c r="D17" s="3"/>
      <c r="E17" s="6"/>
      <c r="F17" s="40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522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466</v>
      </c>
      <c r="E7" s="6" t="s">
        <v>97</v>
      </c>
      <c r="F7" s="36">
        <f>(0.4+0.4)*0.49*10</f>
        <v>3.92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523</v>
      </c>
      <c r="E8" s="6" t="s">
        <v>97</v>
      </c>
      <c r="F8" s="34">
        <f>3.9-2.2</f>
        <v>1.6999999999999997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524</v>
      </c>
      <c r="E9" s="6" t="s">
        <v>97</v>
      </c>
      <c r="F9" s="36">
        <f>(0.5*0.1+0.3*0.03+0.4*0.36-0.06*0.06*0.5*2+(0.1+0.108)/2*0.21)*10</f>
        <v>2.2123999999999997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469</v>
      </c>
      <c r="E10" s="6" t="s">
        <v>393</v>
      </c>
      <c r="F10" s="36">
        <f>0.5*10</f>
        <v>5</v>
      </c>
      <c r="I10" s="32"/>
      <c r="J10" s="80"/>
    </row>
    <row r="11" spans="2:10" ht="30" customHeight="1">
      <c r="B11" s="5" t="s">
        <v>291</v>
      </c>
      <c r="C11" s="6" t="s">
        <v>292</v>
      </c>
      <c r="D11" s="76" t="s">
        <v>470</v>
      </c>
      <c r="E11" s="6" t="s">
        <v>97</v>
      </c>
      <c r="F11" s="9">
        <f>0.5*0.1*10</f>
        <v>0.5</v>
      </c>
      <c r="I11" s="32"/>
      <c r="J11" s="80"/>
    </row>
    <row r="12" spans="2:10" ht="30" customHeight="1">
      <c r="B12" s="5" t="s">
        <v>455</v>
      </c>
      <c r="C12" s="6" t="s">
        <v>506</v>
      </c>
      <c r="D12" s="37">
        <v>10</v>
      </c>
      <c r="E12" s="6" t="s">
        <v>397</v>
      </c>
      <c r="F12" s="9">
        <f>10</f>
        <v>10</v>
      </c>
      <c r="I12" s="32"/>
      <c r="J12" s="80"/>
    </row>
    <row r="13" spans="2:10" ht="30" customHeight="1">
      <c r="B13" s="5" t="s">
        <v>507</v>
      </c>
      <c r="C13" s="6"/>
      <c r="D13" s="37" t="s">
        <v>525</v>
      </c>
      <c r="E13" s="6" t="s">
        <v>97</v>
      </c>
      <c r="F13" s="9">
        <f>(0.1+0.108)/2*0.21*10/0.9</f>
        <v>0.24266666666666667</v>
      </c>
      <c r="I13" s="32"/>
      <c r="J13" s="80"/>
    </row>
    <row r="14" spans="2:10" ht="30" customHeight="1">
      <c r="B14" s="5" t="s">
        <v>510</v>
      </c>
      <c r="C14" s="6"/>
      <c r="D14" s="37" t="s">
        <v>526</v>
      </c>
      <c r="E14" s="6" t="s">
        <v>97</v>
      </c>
      <c r="F14" s="9">
        <f>(0.1+0.108)/2*0.21*10</f>
        <v>0.2184</v>
      </c>
      <c r="I14" s="32"/>
      <c r="J14" s="80"/>
    </row>
    <row r="15" spans="2:10" ht="30" customHeight="1">
      <c r="B15" s="52"/>
      <c r="C15" s="6"/>
      <c r="D15" s="76"/>
      <c r="E15" s="6"/>
      <c r="F15" s="9"/>
      <c r="I15" s="32"/>
      <c r="J15" s="80"/>
    </row>
    <row r="16" spans="2:10" ht="30" customHeight="1">
      <c r="B16" s="5"/>
      <c r="C16" s="6"/>
      <c r="D16" s="3" t="s">
        <v>457</v>
      </c>
      <c r="E16" s="6"/>
      <c r="F16" s="38"/>
      <c r="I16" s="32"/>
      <c r="J16" s="80"/>
    </row>
    <row r="17" spans="2:10" ht="30" customHeight="1">
      <c r="B17" s="5"/>
      <c r="C17" s="6"/>
      <c r="D17" s="37"/>
      <c r="E17" s="6"/>
      <c r="F17" s="40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B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527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528</v>
      </c>
      <c r="E7" s="6" t="s">
        <v>97</v>
      </c>
      <c r="F7" s="36">
        <f>(0.46+0.4)*0.555*10</f>
        <v>4.7730000000000015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529</v>
      </c>
      <c r="E8" s="6" t="s">
        <v>97</v>
      </c>
      <c r="F8" s="34">
        <f>4.8-2.9</f>
        <v>1.9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530</v>
      </c>
      <c r="E9" s="6" t="s">
        <v>97</v>
      </c>
      <c r="F9" s="36">
        <f>(0.56*0.1+0.36*0.03+0.46*0.425-0.065*0.065*0.5*2+(0.1+0.108)/2*0.27)*10</f>
        <v>2.8615500000000003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476</v>
      </c>
      <c r="E10" s="6" t="s">
        <v>393</v>
      </c>
      <c r="F10" s="36">
        <f>0.56*10</f>
        <v>5.6000000000000005</v>
      </c>
      <c r="I10" s="32"/>
      <c r="J10" s="80"/>
    </row>
    <row r="11" spans="2:10" ht="30" customHeight="1">
      <c r="B11" s="5" t="s">
        <v>291</v>
      </c>
      <c r="C11" s="6" t="s">
        <v>292</v>
      </c>
      <c r="D11" s="76" t="s">
        <v>478</v>
      </c>
      <c r="E11" s="6" t="s">
        <v>97</v>
      </c>
      <c r="F11" s="9">
        <f>0.56*0.1*10</f>
        <v>0.56</v>
      </c>
      <c r="I11" s="32"/>
      <c r="J11" s="80"/>
    </row>
    <row r="12" spans="2:10" ht="30" customHeight="1">
      <c r="B12" s="5" t="s">
        <v>455</v>
      </c>
      <c r="C12" s="6" t="s">
        <v>506</v>
      </c>
      <c r="D12" s="37">
        <v>10</v>
      </c>
      <c r="E12" s="6" t="s">
        <v>397</v>
      </c>
      <c r="F12" s="9">
        <f>10</f>
        <v>10</v>
      </c>
      <c r="I12" s="32"/>
      <c r="J12" s="80"/>
    </row>
    <row r="13" spans="2:10" ht="30" customHeight="1">
      <c r="B13" s="5" t="s">
        <v>507</v>
      </c>
      <c r="C13" s="6"/>
      <c r="D13" s="37" t="s">
        <v>531</v>
      </c>
      <c r="E13" s="6" t="s">
        <v>97</v>
      </c>
      <c r="F13" s="9">
        <f>(0.1+0.108)/2*0.27*10/0.9</f>
        <v>0.31200000000000006</v>
      </c>
      <c r="I13" s="32"/>
      <c r="J13" s="80"/>
    </row>
    <row r="14" spans="2:10" ht="30" customHeight="1">
      <c r="B14" s="5" t="s">
        <v>510</v>
      </c>
      <c r="C14" s="6"/>
      <c r="D14" s="37" t="s">
        <v>532</v>
      </c>
      <c r="E14" s="6" t="s">
        <v>97</v>
      </c>
      <c r="F14" s="9">
        <f>(0.1+0.108)/2*0.27*10</f>
        <v>0.28080000000000005</v>
      </c>
      <c r="I14" s="32"/>
      <c r="J14" s="80"/>
    </row>
    <row r="15" spans="2:10" ht="30" customHeight="1">
      <c r="B15" s="52"/>
      <c r="C15" s="6"/>
      <c r="D15" s="76"/>
      <c r="E15" s="6"/>
      <c r="F15" s="9"/>
      <c r="I15" s="32"/>
      <c r="J15" s="80"/>
    </row>
    <row r="16" spans="2:10" ht="30" customHeight="1">
      <c r="B16" s="5"/>
      <c r="C16" s="6"/>
      <c r="D16" s="3" t="s">
        <v>457</v>
      </c>
      <c r="E16" s="6"/>
      <c r="F16" s="38"/>
      <c r="I16" s="32"/>
      <c r="J16" s="80"/>
    </row>
    <row r="17" spans="2:10" ht="30" customHeight="1">
      <c r="B17" s="5"/>
      <c r="C17" s="6"/>
      <c r="D17" s="10"/>
      <c r="E17" s="6"/>
      <c r="F17" s="77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533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482</v>
      </c>
      <c r="E7" s="6" t="s">
        <v>97</v>
      </c>
      <c r="F7" s="36">
        <f>(0.25+0.4)*0.44*10</f>
        <v>2.8600000000000003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534</v>
      </c>
      <c r="E8" s="6" t="s">
        <v>97</v>
      </c>
      <c r="F8" s="34">
        <f>2.9-1.4</f>
        <v>1.5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535</v>
      </c>
      <c r="E9" s="6" t="s">
        <v>97</v>
      </c>
      <c r="F9" s="36">
        <f>(0.38*0.2+0.18*0.02+0.25*0.22-0.04*0.04*0.5*2+0.1*0.1)*10</f>
        <v>1.4300000000000004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451</v>
      </c>
      <c r="E10" s="6" t="s">
        <v>393</v>
      </c>
      <c r="F10" s="36">
        <f>0.38*10</f>
        <v>3.8</v>
      </c>
      <c r="I10" s="32"/>
      <c r="J10" s="80"/>
    </row>
    <row r="11" spans="2:10" ht="30" customHeight="1">
      <c r="B11" s="5" t="s">
        <v>291</v>
      </c>
      <c r="C11" s="6" t="s">
        <v>292</v>
      </c>
      <c r="D11" s="76" t="s">
        <v>536</v>
      </c>
      <c r="E11" s="6" t="s">
        <v>97</v>
      </c>
      <c r="F11" s="9">
        <f>0.38*0.1*10</f>
        <v>0.38000000000000006</v>
      </c>
      <c r="I11" s="32"/>
      <c r="J11" s="80"/>
    </row>
    <row r="12" spans="2:10" ht="30" customHeight="1">
      <c r="B12" s="5" t="s">
        <v>320</v>
      </c>
      <c r="C12" s="6">
        <v>0</v>
      </c>
      <c r="D12" s="76" t="s">
        <v>537</v>
      </c>
      <c r="E12" s="6" t="s">
        <v>393</v>
      </c>
      <c r="F12" s="9">
        <f>0.1*2*10</f>
        <v>2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538</v>
      </c>
      <c r="E13" s="6" t="s">
        <v>97</v>
      </c>
      <c r="F13" s="9">
        <f>0.38*0.1*10</f>
        <v>0.38000000000000006</v>
      </c>
      <c r="I13" s="32"/>
      <c r="J13" s="80"/>
    </row>
    <row r="14" spans="2:10" ht="30" customHeight="1">
      <c r="B14" s="5" t="s">
        <v>455</v>
      </c>
      <c r="C14" s="6" t="s">
        <v>506</v>
      </c>
      <c r="D14" s="37">
        <v>10</v>
      </c>
      <c r="E14" s="6" t="s">
        <v>397</v>
      </c>
      <c r="F14" s="9">
        <f>10</f>
        <v>10</v>
      </c>
      <c r="I14" s="32"/>
      <c r="J14" s="80"/>
    </row>
    <row r="15" spans="2:10" ht="30" customHeight="1">
      <c r="B15" s="5" t="s">
        <v>507</v>
      </c>
      <c r="C15" s="6"/>
      <c r="D15" s="37" t="s">
        <v>508</v>
      </c>
      <c r="E15" s="6" t="s">
        <v>97</v>
      </c>
      <c r="F15" s="9">
        <f>0.1*0.1*10/0.9</f>
        <v>0.11111111111111113</v>
      </c>
      <c r="I15" s="32"/>
      <c r="J15" s="80"/>
    </row>
    <row r="16" spans="2:10" ht="30" customHeight="1">
      <c r="B16" s="5" t="s">
        <v>510</v>
      </c>
      <c r="C16" s="6"/>
      <c r="D16" s="37" t="s">
        <v>511</v>
      </c>
      <c r="E16" s="6" t="s">
        <v>97</v>
      </c>
      <c r="F16" s="9">
        <f>0.1*0.1*10</f>
        <v>0.10000000000000002</v>
      </c>
      <c r="I16" s="32"/>
      <c r="J16" s="80"/>
    </row>
    <row r="17" spans="2:10" ht="30" customHeight="1">
      <c r="B17" s="52"/>
      <c r="C17" s="6"/>
      <c r="D17" s="76"/>
      <c r="E17" s="6"/>
      <c r="F17" s="9"/>
      <c r="I17" s="32"/>
      <c r="J17" s="80"/>
    </row>
    <row r="18" spans="2:10" ht="30" customHeight="1">
      <c r="B18" s="5"/>
      <c r="C18" s="6"/>
      <c r="D18" s="3" t="s">
        <v>457</v>
      </c>
      <c r="E18" s="6"/>
      <c r="F18" s="38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539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490</v>
      </c>
      <c r="E7" s="6" t="s">
        <v>97</v>
      </c>
      <c r="F7" s="36">
        <f>(0.33+0.4)*0.51*10</f>
        <v>3.7230000000000003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540</v>
      </c>
      <c r="E8" s="6" t="s">
        <v>97</v>
      </c>
      <c r="F8" s="34">
        <f>3.7-2</f>
        <v>1.7000000000000002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541</v>
      </c>
      <c r="E9" s="6" t="s">
        <v>97</v>
      </c>
      <c r="F9" s="36">
        <f>(0.44*0.2+0.24*0.02+0.33*0.29-0.05*0.05*0.5*2+(0.1+0.104)/2*0.16)*10</f>
        <v>2.0232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462</v>
      </c>
      <c r="E10" s="6" t="s">
        <v>393</v>
      </c>
      <c r="F10" s="36">
        <f>0.44*10</f>
        <v>4.4</v>
      </c>
      <c r="I10" s="32"/>
      <c r="J10" s="80"/>
    </row>
    <row r="11" spans="2:10" ht="30" customHeight="1">
      <c r="B11" s="5" t="s">
        <v>291</v>
      </c>
      <c r="C11" s="6" t="s">
        <v>292</v>
      </c>
      <c r="D11" s="76" t="s">
        <v>463</v>
      </c>
      <c r="E11" s="6" t="s">
        <v>97</v>
      </c>
      <c r="F11" s="9">
        <f>0.44*0.1*10</f>
        <v>0.44000000000000006</v>
      </c>
      <c r="I11" s="32"/>
      <c r="J11" s="80"/>
    </row>
    <row r="12" spans="2:10" ht="30" customHeight="1">
      <c r="B12" s="5" t="s">
        <v>320</v>
      </c>
      <c r="C12" s="6">
        <v>0</v>
      </c>
      <c r="D12" s="76" t="s">
        <v>486</v>
      </c>
      <c r="E12" s="6" t="s">
        <v>393</v>
      </c>
      <c r="F12" s="9">
        <f>0.1*2*10</f>
        <v>2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463</v>
      </c>
      <c r="E13" s="6" t="s">
        <v>97</v>
      </c>
      <c r="F13" s="9">
        <f>0.44*0.1*10</f>
        <v>0.44000000000000006</v>
      </c>
      <c r="I13" s="32"/>
      <c r="J13" s="80"/>
    </row>
    <row r="14" spans="2:10" ht="30" customHeight="1">
      <c r="B14" s="5" t="s">
        <v>455</v>
      </c>
      <c r="C14" s="6" t="s">
        <v>506</v>
      </c>
      <c r="D14" s="37">
        <v>10</v>
      </c>
      <c r="E14" s="6" t="s">
        <v>397</v>
      </c>
      <c r="F14" s="9">
        <f>10</f>
        <v>10</v>
      </c>
      <c r="I14" s="32"/>
      <c r="J14" s="80"/>
    </row>
    <row r="15" spans="2:10" ht="30" customHeight="1">
      <c r="B15" s="5" t="s">
        <v>507</v>
      </c>
      <c r="C15" s="6"/>
      <c r="D15" s="37" t="s">
        <v>519</v>
      </c>
      <c r="E15" s="6" t="s">
        <v>97</v>
      </c>
      <c r="F15" s="9">
        <f>(0.1+0.104)/2*0.16*10/0.9</f>
        <v>0.18133333333333335</v>
      </c>
      <c r="I15" s="32"/>
      <c r="J15" s="80"/>
    </row>
    <row r="16" spans="2:10" ht="30" customHeight="1">
      <c r="B16" s="5" t="s">
        <v>510</v>
      </c>
      <c r="C16" s="6"/>
      <c r="D16" s="37" t="s">
        <v>520</v>
      </c>
      <c r="E16" s="6" t="s">
        <v>97</v>
      </c>
      <c r="F16" s="9">
        <f>(0.1+0.104)/2*0.16*10</f>
        <v>0.1632</v>
      </c>
      <c r="I16" s="32"/>
      <c r="J16" s="80"/>
    </row>
    <row r="17" spans="2:10" ht="30" customHeight="1">
      <c r="B17" s="52"/>
      <c r="C17" s="6"/>
      <c r="D17" s="76"/>
      <c r="E17" s="6"/>
      <c r="F17" s="9"/>
      <c r="I17" s="32"/>
      <c r="J17" s="80"/>
    </row>
    <row r="18" spans="2:10" ht="30" customHeight="1">
      <c r="B18" s="5"/>
      <c r="C18" s="6"/>
      <c r="D18" s="3" t="s">
        <v>457</v>
      </c>
      <c r="E18" s="6"/>
      <c r="F18" s="38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542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494</v>
      </c>
      <c r="E7" s="6" t="s">
        <v>97</v>
      </c>
      <c r="F7" s="36">
        <f>(0.4+0.4)*0.58*10</f>
        <v>4.64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543</v>
      </c>
      <c r="E8" s="6" t="s">
        <v>97</v>
      </c>
      <c r="F8" s="34">
        <f>4.6-2.7</f>
        <v>1.8999999999999995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544</v>
      </c>
      <c r="E9" s="6" t="s">
        <v>97</v>
      </c>
      <c r="F9" s="36">
        <f>(0.5*0.2+0.3*0.02+0.4*0.36-0.06*0.06*0.5*2+(0.1+0.108)/2*0.21)*10</f>
        <v>2.6824000000000003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469</v>
      </c>
      <c r="E10" s="6" t="s">
        <v>393</v>
      </c>
      <c r="F10" s="36">
        <f>0.5*10</f>
        <v>5</v>
      </c>
      <c r="I10" s="32"/>
      <c r="J10" s="80"/>
    </row>
    <row r="11" spans="2:10" ht="30" customHeight="1">
      <c r="B11" s="5" t="s">
        <v>291</v>
      </c>
      <c r="C11" s="6" t="s">
        <v>292</v>
      </c>
      <c r="D11" s="76" t="s">
        <v>470</v>
      </c>
      <c r="E11" s="6" t="s">
        <v>97</v>
      </c>
      <c r="F11" s="9">
        <f>0.5*0.1*10</f>
        <v>0.5</v>
      </c>
      <c r="I11" s="32"/>
      <c r="J11" s="80"/>
    </row>
    <row r="12" spans="2:10" ht="30" customHeight="1">
      <c r="B12" s="5" t="s">
        <v>320</v>
      </c>
      <c r="C12" s="6">
        <v>0</v>
      </c>
      <c r="D12" s="76" t="s">
        <v>486</v>
      </c>
      <c r="E12" s="6" t="s">
        <v>393</v>
      </c>
      <c r="F12" s="9">
        <f>0.1*2*10</f>
        <v>2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470</v>
      </c>
      <c r="E13" s="6" t="s">
        <v>97</v>
      </c>
      <c r="F13" s="9">
        <f>0.5*0.1*10</f>
        <v>0.5</v>
      </c>
      <c r="I13" s="32"/>
      <c r="J13" s="80"/>
    </row>
    <row r="14" spans="2:10" ht="30" customHeight="1">
      <c r="B14" s="5" t="s">
        <v>455</v>
      </c>
      <c r="C14" s="6" t="s">
        <v>506</v>
      </c>
      <c r="D14" s="37">
        <v>10</v>
      </c>
      <c r="E14" s="6" t="s">
        <v>397</v>
      </c>
      <c r="F14" s="9">
        <f>10</f>
        <v>10</v>
      </c>
      <c r="I14" s="32"/>
      <c r="J14" s="80"/>
    </row>
    <row r="15" spans="2:10" ht="30" customHeight="1">
      <c r="B15" s="5" t="s">
        <v>507</v>
      </c>
      <c r="C15" s="6"/>
      <c r="D15" s="37" t="s">
        <v>545</v>
      </c>
      <c r="E15" s="6" t="s">
        <v>97</v>
      </c>
      <c r="F15" s="9">
        <f>(0.1+0.108)/2*0.21*10/0.9</f>
        <v>0.24266666666666667</v>
      </c>
      <c r="I15" s="32"/>
      <c r="J15" s="80"/>
    </row>
    <row r="16" spans="2:10" ht="30" customHeight="1">
      <c r="B16" s="5" t="s">
        <v>510</v>
      </c>
      <c r="C16" s="6"/>
      <c r="D16" s="37" t="s">
        <v>546</v>
      </c>
      <c r="E16" s="6" t="s">
        <v>97</v>
      </c>
      <c r="F16" s="9">
        <f>(0.1+0.108)/2*0.21*10</f>
        <v>0.2184</v>
      </c>
      <c r="I16" s="32"/>
      <c r="J16" s="80"/>
    </row>
    <row r="17" spans="2:10" ht="30" customHeight="1">
      <c r="B17" s="52"/>
      <c r="C17" s="6"/>
      <c r="D17" s="76"/>
      <c r="E17" s="6"/>
      <c r="F17" s="9"/>
      <c r="I17" s="32"/>
      <c r="J17" s="80"/>
    </row>
    <row r="18" spans="2:10" ht="30" customHeight="1">
      <c r="B18" s="5"/>
      <c r="C18" s="6"/>
      <c r="D18" s="3" t="s">
        <v>457</v>
      </c>
      <c r="E18" s="6"/>
      <c r="F18" s="38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547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498</v>
      </c>
      <c r="E7" s="6" t="s">
        <v>97</v>
      </c>
      <c r="F7" s="36">
        <f>(0.46+0.4)*0.645*10</f>
        <v>5.547000000000001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548</v>
      </c>
      <c r="E8" s="6" t="s">
        <v>97</v>
      </c>
      <c r="F8" s="34">
        <f>5.5-3.4</f>
        <v>2.1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549</v>
      </c>
      <c r="E9" s="6" t="s">
        <v>97</v>
      </c>
      <c r="F9" s="36">
        <f>(0.56*0.2+0.36*0.02+0.46*0.425-0.065*0.065*0.5*2+(0.1+0.108)/2*0.27)*10</f>
        <v>3.3855500000000003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476</v>
      </c>
      <c r="E10" s="6" t="s">
        <v>393</v>
      </c>
      <c r="F10" s="36">
        <f>0.56*10</f>
        <v>5.6000000000000005</v>
      </c>
      <c r="I10" s="32"/>
      <c r="J10" s="80"/>
    </row>
    <row r="11" spans="2:10" ht="30" customHeight="1">
      <c r="B11" s="5" t="s">
        <v>291</v>
      </c>
      <c r="C11" s="6" t="s">
        <v>292</v>
      </c>
      <c r="D11" s="76" t="s">
        <v>478</v>
      </c>
      <c r="E11" s="6" t="s">
        <v>97</v>
      </c>
      <c r="F11" s="9">
        <f>0.56*0.1*10</f>
        <v>0.56</v>
      </c>
      <c r="I11" s="32"/>
      <c r="J11" s="80"/>
    </row>
    <row r="12" spans="2:10" ht="30" customHeight="1">
      <c r="B12" s="5" t="s">
        <v>320</v>
      </c>
      <c r="C12" s="6">
        <v>0</v>
      </c>
      <c r="D12" s="76" t="s">
        <v>486</v>
      </c>
      <c r="E12" s="6" t="s">
        <v>393</v>
      </c>
      <c r="F12" s="9">
        <f>0.1*2*10</f>
        <v>2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478</v>
      </c>
      <c r="E13" s="6" t="s">
        <v>97</v>
      </c>
      <c r="F13" s="9">
        <f>0.56*0.1*10</f>
        <v>0.56</v>
      </c>
      <c r="I13" s="32"/>
      <c r="J13" s="80"/>
    </row>
    <row r="14" spans="2:10" ht="30" customHeight="1">
      <c r="B14" s="5" t="s">
        <v>455</v>
      </c>
      <c r="C14" s="6" t="s">
        <v>506</v>
      </c>
      <c r="D14" s="37">
        <v>10</v>
      </c>
      <c r="E14" s="6" t="s">
        <v>397</v>
      </c>
      <c r="F14" s="9">
        <f>10</f>
        <v>10</v>
      </c>
      <c r="I14" s="32"/>
      <c r="J14" s="80"/>
    </row>
    <row r="15" spans="2:10" ht="30" customHeight="1">
      <c r="B15" s="5" t="s">
        <v>507</v>
      </c>
      <c r="C15" s="6"/>
      <c r="D15" s="37" t="s">
        <v>531</v>
      </c>
      <c r="E15" s="6" t="s">
        <v>97</v>
      </c>
      <c r="F15" s="9">
        <f>(0.1+0.108)/2*0.27*10/0.9</f>
        <v>0.31200000000000006</v>
      </c>
      <c r="I15" s="32"/>
      <c r="J15" s="80"/>
    </row>
    <row r="16" spans="2:10" ht="30" customHeight="1">
      <c r="B16" s="5" t="s">
        <v>510</v>
      </c>
      <c r="C16" s="6"/>
      <c r="D16" s="37" t="s">
        <v>532</v>
      </c>
      <c r="E16" s="6" t="s">
        <v>97</v>
      </c>
      <c r="F16" s="9">
        <f>(0.1+0.108)/2*0.27*10</f>
        <v>0.28080000000000005</v>
      </c>
      <c r="I16" s="32"/>
      <c r="J16" s="80"/>
    </row>
    <row r="17" spans="2:10" ht="30" customHeight="1">
      <c r="B17" s="52"/>
      <c r="C17" s="6"/>
      <c r="D17" s="76"/>
      <c r="E17" s="6"/>
      <c r="F17" s="9"/>
      <c r="I17" s="32"/>
      <c r="J17" s="80"/>
    </row>
    <row r="18" spans="2:10" ht="30" customHeight="1">
      <c r="B18" s="5"/>
      <c r="C18" s="6"/>
      <c r="D18" s="3" t="s">
        <v>457</v>
      </c>
      <c r="E18" s="6"/>
      <c r="F18" s="38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550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448</v>
      </c>
      <c r="E7" s="6" t="s">
        <v>97</v>
      </c>
      <c r="F7" s="36">
        <f>(0.25+0.4)*0.35*10</f>
        <v>2.275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551</v>
      </c>
      <c r="E8" s="6" t="s">
        <v>97</v>
      </c>
      <c r="F8" s="34">
        <f>2.3-1.2</f>
        <v>1.0999999999999999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552</v>
      </c>
      <c r="E9" s="6" t="s">
        <v>97</v>
      </c>
      <c r="F9" s="36">
        <f>(0.38*0.1+0.18*0.03+0.25*0.22-0.04*0.04*0.5*2+0.1*0.1*2)*10</f>
        <v>1.1680000000000001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451</v>
      </c>
      <c r="E10" s="6" t="s">
        <v>393</v>
      </c>
      <c r="F10" s="36">
        <f>0.38*10</f>
        <v>3.8</v>
      </c>
      <c r="I10" s="32"/>
      <c r="J10" s="80"/>
    </row>
    <row r="11" spans="2:10" ht="30" customHeight="1">
      <c r="B11" s="5" t="s">
        <v>291</v>
      </c>
      <c r="C11" s="6" t="s">
        <v>380</v>
      </c>
      <c r="D11" s="76" t="s">
        <v>453</v>
      </c>
      <c r="E11" s="6" t="s">
        <v>97</v>
      </c>
      <c r="F11" s="9">
        <f>0.38*0.1*10</f>
        <v>0.38000000000000006</v>
      </c>
      <c r="I11" s="32"/>
      <c r="J11" s="80"/>
    </row>
    <row r="12" spans="2:10" ht="30" customHeight="1">
      <c r="B12" s="5" t="s">
        <v>455</v>
      </c>
      <c r="C12" s="6" t="s">
        <v>553</v>
      </c>
      <c r="D12" s="37">
        <v>10</v>
      </c>
      <c r="E12" s="6" t="s">
        <v>397</v>
      </c>
      <c r="F12" s="9">
        <f>10</f>
        <v>10</v>
      </c>
      <c r="I12" s="32"/>
      <c r="J12" s="80"/>
    </row>
    <row r="13" spans="2:10" ht="30" customHeight="1">
      <c r="B13" s="5" t="s">
        <v>507</v>
      </c>
      <c r="C13" s="6"/>
      <c r="D13" s="37" t="s">
        <v>554</v>
      </c>
      <c r="E13" s="6" t="s">
        <v>97</v>
      </c>
      <c r="F13" s="9">
        <f>0.1*0.1*10*2/0.9</f>
        <v>0.22222222222222227</v>
      </c>
      <c r="I13" s="32"/>
      <c r="J13" s="80"/>
    </row>
    <row r="14" spans="2:10" ht="30" customHeight="1">
      <c r="B14" s="5" t="s">
        <v>510</v>
      </c>
      <c r="C14" s="6"/>
      <c r="D14" s="37" t="s">
        <v>555</v>
      </c>
      <c r="E14" s="6" t="s">
        <v>97</v>
      </c>
      <c r="F14" s="9">
        <f>0.1*0.1*10*2</f>
        <v>0.20000000000000004</v>
      </c>
      <c r="I14" s="32"/>
      <c r="J14" s="80"/>
    </row>
    <row r="15" spans="2:10" ht="30" customHeight="1">
      <c r="B15" s="52"/>
      <c r="C15" s="6"/>
      <c r="D15" s="76"/>
      <c r="E15" s="6"/>
      <c r="F15" s="9"/>
      <c r="I15" s="32"/>
      <c r="J15" s="80"/>
    </row>
    <row r="16" spans="2:10" ht="30" customHeight="1">
      <c r="B16" s="5"/>
      <c r="C16" s="6"/>
      <c r="D16" s="3" t="s">
        <v>457</v>
      </c>
      <c r="E16" s="6"/>
      <c r="F16" s="38"/>
      <c r="I16" s="32"/>
      <c r="J16" s="80"/>
    </row>
    <row r="17" spans="2:10" ht="30" customHeight="1">
      <c r="B17" s="5"/>
      <c r="C17" s="6"/>
      <c r="D17" s="37"/>
      <c r="E17" s="6"/>
      <c r="F17" s="40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556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557</v>
      </c>
      <c r="E7" s="6" t="s">
        <v>97</v>
      </c>
      <c r="F7" s="36">
        <f>(0.33+0.4)*0.42*10</f>
        <v>3.066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558</v>
      </c>
      <c r="E8" s="6" t="s">
        <v>97</v>
      </c>
      <c r="F8" s="34">
        <f>3.1-1.8</f>
        <v>1.3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559</v>
      </c>
      <c r="E9" s="6" t="s">
        <v>97</v>
      </c>
      <c r="F9" s="36">
        <f>(0.44*0.1+0.24*0.03+0.33*0.29-0.05*0.05*0.5*2+(0.1+0.104)/2*0.16*2)*10</f>
        <v>1.7704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462</v>
      </c>
      <c r="E10" s="6" t="s">
        <v>393</v>
      </c>
      <c r="F10" s="36">
        <f>0.44*10</f>
        <v>4.4</v>
      </c>
      <c r="I10" s="32"/>
      <c r="J10" s="80"/>
    </row>
    <row r="11" spans="2:10" ht="30" customHeight="1">
      <c r="B11" s="5" t="s">
        <v>291</v>
      </c>
      <c r="C11" s="6" t="s">
        <v>380</v>
      </c>
      <c r="D11" s="76" t="s">
        <v>463</v>
      </c>
      <c r="E11" s="6" t="s">
        <v>97</v>
      </c>
      <c r="F11" s="9">
        <f>0.44*0.1*10</f>
        <v>0.44000000000000006</v>
      </c>
      <c r="I11" s="32"/>
      <c r="J11" s="80"/>
    </row>
    <row r="12" spans="2:10" ht="30" customHeight="1">
      <c r="B12" s="5" t="s">
        <v>455</v>
      </c>
      <c r="C12" s="6" t="s">
        <v>553</v>
      </c>
      <c r="D12" s="37">
        <v>10</v>
      </c>
      <c r="E12" s="6" t="s">
        <v>397</v>
      </c>
      <c r="F12" s="9">
        <f>10</f>
        <v>10</v>
      </c>
      <c r="I12" s="32"/>
      <c r="J12" s="80"/>
    </row>
    <row r="13" spans="2:10" ht="30" customHeight="1">
      <c r="B13" s="5" t="s">
        <v>507</v>
      </c>
      <c r="C13" s="6"/>
      <c r="D13" s="37" t="s">
        <v>560</v>
      </c>
      <c r="E13" s="6" t="s">
        <v>97</v>
      </c>
      <c r="F13" s="9">
        <f>(0.1+0.104)/2*0.16*10*2/0.9</f>
        <v>0.3626666666666667</v>
      </c>
      <c r="I13" s="32"/>
      <c r="J13" s="80"/>
    </row>
    <row r="14" spans="2:10" ht="30" customHeight="1">
      <c r="B14" s="5" t="s">
        <v>510</v>
      </c>
      <c r="C14" s="6"/>
      <c r="D14" s="37" t="s">
        <v>561</v>
      </c>
      <c r="E14" s="6" t="s">
        <v>97</v>
      </c>
      <c r="F14" s="9">
        <f>(0.1+0.104)/2*0.16*10*2</f>
        <v>0.3264</v>
      </c>
      <c r="I14" s="32"/>
      <c r="J14" s="80"/>
    </row>
    <row r="15" spans="2:10" ht="30" customHeight="1">
      <c r="B15" s="52"/>
      <c r="C15" s="6"/>
      <c r="D15" s="76"/>
      <c r="E15" s="6"/>
      <c r="F15" s="9"/>
      <c r="I15" s="32"/>
      <c r="J15" s="80"/>
    </row>
    <row r="16" spans="2:10" ht="30" customHeight="1">
      <c r="B16" s="5"/>
      <c r="C16" s="6"/>
      <c r="D16" s="3" t="s">
        <v>457</v>
      </c>
      <c r="E16" s="6"/>
      <c r="F16" s="38"/>
      <c r="I16" s="32"/>
      <c r="J16" s="80"/>
    </row>
    <row r="17" spans="2:10" ht="30" customHeight="1">
      <c r="B17" s="5"/>
      <c r="C17" s="6"/>
      <c r="D17" s="37"/>
      <c r="E17" s="6"/>
      <c r="F17" s="40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562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563</v>
      </c>
      <c r="E7" s="6" t="s">
        <v>97</v>
      </c>
      <c r="F7" s="36">
        <f>(0.4+0.4)*0.49*10</f>
        <v>3.92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564</v>
      </c>
      <c r="E8" s="6" t="s">
        <v>97</v>
      </c>
      <c r="F8" s="34">
        <f>3.9-2.4</f>
        <v>1.5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565</v>
      </c>
      <c r="E9" s="6" t="s">
        <v>97</v>
      </c>
      <c r="F9" s="36">
        <f>(0.5*0.1+0.3*0.03+0.4*0.36-0.06*0.06*0.5*2+(0.1+0.108)/2*0.21*2)*10</f>
        <v>2.4308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469</v>
      </c>
      <c r="E10" s="6" t="s">
        <v>393</v>
      </c>
      <c r="F10" s="36">
        <f>0.5*10</f>
        <v>5</v>
      </c>
      <c r="I10" s="32"/>
      <c r="J10" s="80"/>
    </row>
    <row r="11" spans="2:10" ht="30" customHeight="1">
      <c r="B11" s="5" t="s">
        <v>291</v>
      </c>
      <c r="C11" s="6" t="s">
        <v>292</v>
      </c>
      <c r="D11" s="76" t="s">
        <v>470</v>
      </c>
      <c r="E11" s="6" t="s">
        <v>97</v>
      </c>
      <c r="F11" s="9">
        <f>0.5*0.1*10</f>
        <v>0.5</v>
      </c>
      <c r="I11" s="32"/>
      <c r="J11" s="80"/>
    </row>
    <row r="12" spans="2:10" ht="30" customHeight="1">
      <c r="B12" s="5" t="s">
        <v>455</v>
      </c>
      <c r="C12" s="6" t="s">
        <v>553</v>
      </c>
      <c r="D12" s="37">
        <v>10</v>
      </c>
      <c r="E12" s="6" t="s">
        <v>397</v>
      </c>
      <c r="F12" s="9">
        <f>10</f>
        <v>10</v>
      </c>
      <c r="I12" s="32"/>
      <c r="J12" s="80"/>
    </row>
    <row r="13" spans="2:10" ht="30" customHeight="1">
      <c r="B13" s="5" t="s">
        <v>507</v>
      </c>
      <c r="C13" s="6"/>
      <c r="D13" s="37" t="s">
        <v>566</v>
      </c>
      <c r="E13" s="6" t="s">
        <v>97</v>
      </c>
      <c r="F13" s="9">
        <f>(0.1+0.108)/2*0.21*10*2/0.9</f>
        <v>0.48533333333333334</v>
      </c>
      <c r="I13" s="32"/>
      <c r="J13" s="80"/>
    </row>
    <row r="14" spans="2:10" ht="30" customHeight="1">
      <c r="B14" s="5" t="s">
        <v>510</v>
      </c>
      <c r="C14" s="6"/>
      <c r="D14" s="37" t="s">
        <v>567</v>
      </c>
      <c r="E14" s="6" t="s">
        <v>97</v>
      </c>
      <c r="F14" s="9">
        <f>(0.1+0.108)/2*0.21*10*2</f>
        <v>0.4368</v>
      </c>
      <c r="I14" s="32"/>
      <c r="J14" s="80"/>
    </row>
    <row r="15" spans="2:10" ht="30" customHeight="1">
      <c r="B15" s="52"/>
      <c r="C15" s="6"/>
      <c r="D15" s="76"/>
      <c r="E15" s="6"/>
      <c r="F15" s="9"/>
      <c r="I15" s="32"/>
      <c r="J15" s="80"/>
    </row>
    <row r="16" spans="2:10" ht="30" customHeight="1">
      <c r="B16" s="5"/>
      <c r="C16" s="6"/>
      <c r="D16" s="3" t="s">
        <v>457</v>
      </c>
      <c r="E16" s="6"/>
      <c r="F16" s="38"/>
      <c r="I16" s="32"/>
      <c r="J16" s="80"/>
    </row>
    <row r="17" spans="2:10" ht="30" customHeight="1">
      <c r="B17" s="5"/>
      <c r="C17" s="6"/>
      <c r="D17" s="37"/>
      <c r="E17" s="6"/>
      <c r="F17" s="40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workbookViewId="0" topLeftCell="A21">
      <selection activeCell="B26" sqref="B26"/>
    </sheetView>
  </sheetViews>
  <sheetFormatPr defaultColWidth="9.00390625" defaultRowHeight="13.5"/>
  <cols>
    <col min="1" max="1" width="2.00390625" style="0" customWidth="1"/>
    <col min="2" max="2" width="13.50390625" style="0" customWidth="1"/>
    <col min="3" max="3" width="15.125" style="0" customWidth="1"/>
    <col min="4" max="4" width="45.125" style="0" customWidth="1"/>
    <col min="5" max="5" width="4.625" style="0" customWidth="1"/>
    <col min="6" max="6" width="12.875" style="0" customWidth="1"/>
    <col min="7" max="7" width="1.4921875" style="0" customWidth="1"/>
    <col min="8" max="8" width="5.25390625" style="0" customWidth="1"/>
    <col min="9" max="9" width="9.125" style="0" bestFit="1" customWidth="1"/>
    <col min="10" max="10" width="9.875" style="0" bestFit="1" customWidth="1"/>
  </cols>
  <sheetData>
    <row r="1" ht="27" customHeight="1" thickBot="1">
      <c r="F1" s="99" t="s">
        <v>58</v>
      </c>
    </row>
    <row r="2" spans="2:6" ht="27.75" customHeight="1">
      <c r="B2" s="100" t="s">
        <v>65</v>
      </c>
      <c r="C2" s="101"/>
      <c r="D2" s="101"/>
      <c r="E2" s="101"/>
      <c r="F2" s="102"/>
    </row>
    <row r="3" spans="1:6" ht="22.5" customHeight="1">
      <c r="A3" s="103"/>
      <c r="B3" s="104" t="s">
        <v>1276</v>
      </c>
      <c r="C3" s="105"/>
      <c r="D3" s="106"/>
      <c r="E3" s="107"/>
      <c r="F3" s="108"/>
    </row>
    <row r="4" spans="2:6" ht="1.5" customHeight="1">
      <c r="B4" s="109"/>
      <c r="C4" s="110"/>
      <c r="D4" s="110"/>
      <c r="E4" s="110"/>
      <c r="F4" s="111"/>
    </row>
    <row r="5" spans="2:6" ht="25.5" customHeight="1">
      <c r="B5" s="112"/>
      <c r="C5" s="113"/>
      <c r="D5" s="113"/>
      <c r="E5" s="7">
        <v>10</v>
      </c>
      <c r="F5" s="8" t="s">
        <v>1130</v>
      </c>
    </row>
    <row r="6" spans="2:10" ht="20.25" customHeight="1">
      <c r="B6" s="114" t="s">
        <v>59</v>
      </c>
      <c r="C6" s="115" t="s">
        <v>60</v>
      </c>
      <c r="D6" s="115" t="s">
        <v>63</v>
      </c>
      <c r="E6" s="115" t="s">
        <v>61</v>
      </c>
      <c r="F6" s="116" t="s">
        <v>62</v>
      </c>
      <c r="I6" s="117"/>
      <c r="J6" s="117"/>
    </row>
    <row r="7" spans="2:6" ht="1.5" customHeight="1">
      <c r="B7" s="118"/>
      <c r="C7" s="119"/>
      <c r="D7" s="119"/>
      <c r="E7" s="119"/>
      <c r="F7" s="120"/>
    </row>
    <row r="8" spans="2:10" ht="30" customHeight="1">
      <c r="B8" s="121" t="s">
        <v>1131</v>
      </c>
      <c r="C8" s="122"/>
      <c r="D8" s="123" t="s">
        <v>1277</v>
      </c>
      <c r="E8" s="122" t="s">
        <v>1247</v>
      </c>
      <c r="F8" s="124">
        <f>(0.79+0.4)*0.55*10</f>
        <v>6.545</v>
      </c>
      <c r="I8" s="125"/>
      <c r="J8" s="126"/>
    </row>
    <row r="9" spans="2:10" ht="30" customHeight="1">
      <c r="B9" s="121" t="s">
        <v>1134</v>
      </c>
      <c r="C9" s="127"/>
      <c r="D9" s="123" t="s">
        <v>1278</v>
      </c>
      <c r="E9" s="122" t="s">
        <v>1247</v>
      </c>
      <c r="F9" s="124">
        <f>6.5-3.7</f>
        <v>2.8</v>
      </c>
      <c r="I9" s="125"/>
      <c r="J9" s="126"/>
    </row>
    <row r="10" spans="2:10" ht="30" customHeight="1">
      <c r="B10" s="121" t="s">
        <v>1137</v>
      </c>
      <c r="C10" s="128"/>
      <c r="D10" s="123" t="s">
        <v>1279</v>
      </c>
      <c r="E10" s="122" t="s">
        <v>1247</v>
      </c>
      <c r="F10" s="124">
        <f>(0.89*0.2+0.79*0.15+0.2*0.37)*10</f>
        <v>3.705</v>
      </c>
      <c r="I10" s="125"/>
      <c r="J10" s="126"/>
    </row>
    <row r="11" spans="2:10" ht="30" customHeight="1">
      <c r="B11" s="121" t="s">
        <v>1139</v>
      </c>
      <c r="C11" s="122"/>
      <c r="D11" s="123" t="s">
        <v>1280</v>
      </c>
      <c r="E11" s="122" t="s">
        <v>1270</v>
      </c>
      <c r="F11" s="124">
        <f>0.89*10</f>
        <v>8.9</v>
      </c>
      <c r="I11" s="125"/>
      <c r="J11" s="126"/>
    </row>
    <row r="12" spans="2:10" ht="30" customHeight="1">
      <c r="B12" s="121" t="s">
        <v>1144</v>
      </c>
      <c r="C12" s="129" t="s">
        <v>1145</v>
      </c>
      <c r="D12" s="123" t="s">
        <v>1208</v>
      </c>
      <c r="E12" s="122" t="s">
        <v>1142</v>
      </c>
      <c r="F12" s="130">
        <f>0.89*10</f>
        <v>8.9</v>
      </c>
      <c r="I12" s="125"/>
      <c r="J12" s="126"/>
    </row>
    <row r="13" spans="2:10" ht="30" customHeight="1">
      <c r="B13" s="121" t="s">
        <v>1147</v>
      </c>
      <c r="C13" s="122"/>
      <c r="D13" s="123" t="s">
        <v>1212</v>
      </c>
      <c r="E13" s="122" t="s">
        <v>1142</v>
      </c>
      <c r="F13" s="130">
        <f>(0.89*0.05+0.05*10)*2</f>
        <v>1.089</v>
      </c>
      <c r="I13" s="125"/>
      <c r="J13" s="126"/>
    </row>
    <row r="14" spans="2:10" ht="30" customHeight="1">
      <c r="B14" s="121" t="s">
        <v>1149</v>
      </c>
      <c r="C14" s="131" t="s">
        <v>1150</v>
      </c>
      <c r="D14" s="123" t="s">
        <v>1215</v>
      </c>
      <c r="E14" s="122" t="s">
        <v>1154</v>
      </c>
      <c r="F14" s="130">
        <f>0.89*0.05*10</f>
        <v>0.44500000000000006</v>
      </c>
      <c r="I14" s="125"/>
      <c r="J14" s="126"/>
    </row>
    <row r="15" spans="2:10" ht="30" customHeight="1">
      <c r="B15" s="121" t="s">
        <v>1156</v>
      </c>
      <c r="C15" s="122"/>
      <c r="D15" s="123" t="s">
        <v>1218</v>
      </c>
      <c r="E15" s="122" t="s">
        <v>1154</v>
      </c>
      <c r="F15" s="130">
        <f>(0.15*0.79+0.15*10)*2</f>
        <v>3.237</v>
      </c>
      <c r="I15" s="125"/>
      <c r="J15" s="126"/>
    </row>
    <row r="16" spans="2:10" ht="30" customHeight="1">
      <c r="B16" s="121" t="s">
        <v>1159</v>
      </c>
      <c r="C16" s="131" t="s">
        <v>1150</v>
      </c>
      <c r="D16" s="123" t="s">
        <v>1223</v>
      </c>
      <c r="E16" s="122" t="s">
        <v>97</v>
      </c>
      <c r="F16" s="130">
        <f>0.79*0.15*10</f>
        <v>1.185</v>
      </c>
      <c r="I16" s="125"/>
      <c r="J16" s="126"/>
    </row>
    <row r="17" spans="2:10" ht="30" customHeight="1">
      <c r="B17" s="121" t="s">
        <v>1163</v>
      </c>
      <c r="C17" s="122"/>
      <c r="D17" s="123" t="s">
        <v>1225</v>
      </c>
      <c r="E17" s="122" t="s">
        <v>97</v>
      </c>
      <c r="F17" s="130">
        <f>0.45*0.2*10</f>
        <v>0.9000000000000001</v>
      </c>
      <c r="I17" s="125"/>
      <c r="J17" s="126"/>
    </row>
    <row r="18" spans="2:10" ht="30" customHeight="1">
      <c r="B18" s="121" t="s">
        <v>1166</v>
      </c>
      <c r="C18" s="131"/>
      <c r="D18" s="123" t="s">
        <v>1167</v>
      </c>
      <c r="E18" s="122" t="s">
        <v>97</v>
      </c>
      <c r="F18" s="130">
        <f>0.2*0.15*2+0.15*10</f>
        <v>1.56</v>
      </c>
      <c r="I18" s="125"/>
      <c r="J18" s="126"/>
    </row>
    <row r="19" spans="2:10" ht="30" customHeight="1">
      <c r="B19" s="121" t="s">
        <v>1169</v>
      </c>
      <c r="C19" s="131" t="s">
        <v>1150</v>
      </c>
      <c r="D19" s="123" t="s">
        <v>1170</v>
      </c>
      <c r="E19" s="122" t="s">
        <v>97</v>
      </c>
      <c r="F19" s="130">
        <f>0.15*0.2*10</f>
        <v>0.3</v>
      </c>
      <c r="I19" s="125"/>
      <c r="J19" s="126"/>
    </row>
    <row r="20" spans="2:10" ht="30" customHeight="1">
      <c r="B20" s="121" t="s">
        <v>1172</v>
      </c>
      <c r="C20" s="129" t="s">
        <v>1173</v>
      </c>
      <c r="D20" s="123" t="s">
        <v>1281</v>
      </c>
      <c r="E20" s="122" t="s">
        <v>1176</v>
      </c>
      <c r="F20" s="130">
        <f>1.51*25*0.995</f>
        <v>37.56125</v>
      </c>
      <c r="I20" s="125"/>
      <c r="J20" s="126"/>
    </row>
    <row r="21" spans="2:10" ht="30" customHeight="1">
      <c r="B21" s="121" t="s">
        <v>1178</v>
      </c>
      <c r="C21" s="122"/>
      <c r="D21" s="123" t="s">
        <v>1232</v>
      </c>
      <c r="E21" s="122" t="s">
        <v>1176</v>
      </c>
      <c r="F21" s="130">
        <f>10*10*0.56</f>
        <v>56.00000000000001</v>
      </c>
      <c r="I21" s="125"/>
      <c r="J21" s="126"/>
    </row>
    <row r="22" spans="2:10" ht="30" customHeight="1">
      <c r="B22" s="121" t="s">
        <v>1272</v>
      </c>
      <c r="C22" s="122"/>
      <c r="D22" s="123" t="s">
        <v>834</v>
      </c>
      <c r="E22" s="122" t="s">
        <v>1142</v>
      </c>
      <c r="F22" s="130">
        <f>0.15*10</f>
        <v>1.5</v>
      </c>
      <c r="I22" s="125"/>
      <c r="J22" s="126"/>
    </row>
    <row r="23" spans="2:10" ht="30" customHeight="1">
      <c r="B23" s="121" t="s">
        <v>1184</v>
      </c>
      <c r="C23" s="122"/>
      <c r="D23" s="123" t="s">
        <v>1235</v>
      </c>
      <c r="E23" s="122" t="s">
        <v>1186</v>
      </c>
      <c r="F23" s="130">
        <f>0.6*10/2*0.15</f>
        <v>0.44999999999999996</v>
      </c>
      <c r="I23" s="125"/>
      <c r="J23" s="126"/>
    </row>
    <row r="24" spans="2:10" ht="30" customHeight="1">
      <c r="B24" s="121" t="s">
        <v>1188</v>
      </c>
      <c r="C24" s="122"/>
      <c r="D24" s="123" t="s">
        <v>1282</v>
      </c>
      <c r="E24" s="122" t="s">
        <v>1142</v>
      </c>
      <c r="F24" s="130">
        <f>0.1*0.1*(0.6*10/2)</f>
        <v>0.030000000000000006</v>
      </c>
      <c r="I24" s="125"/>
      <c r="J24" s="126"/>
    </row>
    <row r="25" spans="2:10" ht="30" customHeight="1">
      <c r="B25" s="121" t="s">
        <v>1275</v>
      </c>
      <c r="C25" s="122"/>
      <c r="D25" s="123" t="s">
        <v>1239</v>
      </c>
      <c r="E25" s="122" t="s">
        <v>1193</v>
      </c>
      <c r="F25" s="124">
        <f>25*4</f>
        <v>100</v>
      </c>
      <c r="I25" s="125"/>
      <c r="J25" s="126"/>
    </row>
    <row r="26" spans="2:10" ht="30" customHeight="1">
      <c r="B26" s="121" t="s">
        <v>1283</v>
      </c>
      <c r="C26" s="129" t="s">
        <v>1284</v>
      </c>
      <c r="D26" s="123" t="s">
        <v>1242</v>
      </c>
      <c r="E26" s="122" t="s">
        <v>1133</v>
      </c>
      <c r="F26" s="133">
        <f>(24*0.8+10*3)*0.025*0.01+(0.11+0.15)*0.5*0.02*10</f>
        <v>0.0383</v>
      </c>
      <c r="I26" s="125"/>
      <c r="J26" s="126"/>
    </row>
    <row r="27" spans="2:10" ht="30" customHeight="1">
      <c r="B27" s="121" t="s">
        <v>1200</v>
      </c>
      <c r="C27" s="131" t="s">
        <v>1150</v>
      </c>
      <c r="D27" s="123" t="s">
        <v>1285</v>
      </c>
      <c r="E27" s="122" t="s">
        <v>1133</v>
      </c>
      <c r="F27" s="132">
        <f>0.15*0.8*10*0.586</f>
        <v>0.7031999999999999</v>
      </c>
      <c r="I27" s="125"/>
      <c r="J27" s="126"/>
    </row>
    <row r="28" spans="2:10" ht="30" customHeight="1">
      <c r="B28" s="121"/>
      <c r="C28" s="122"/>
      <c r="D28" s="123"/>
      <c r="E28" s="122"/>
      <c r="F28" s="134"/>
      <c r="I28" s="125"/>
      <c r="J28" s="126"/>
    </row>
    <row r="29" spans="2:10" ht="30" customHeight="1">
      <c r="B29" s="121"/>
      <c r="C29" s="122"/>
      <c r="D29" s="135"/>
      <c r="E29" s="122"/>
      <c r="F29" s="136"/>
      <c r="I29" s="125"/>
      <c r="J29" s="126"/>
    </row>
    <row r="30" spans="2:10" ht="30" customHeight="1" thickBot="1">
      <c r="B30" s="137"/>
      <c r="C30" s="138"/>
      <c r="D30" s="139"/>
      <c r="E30" s="138"/>
      <c r="F30" s="140"/>
      <c r="I30" s="125"/>
      <c r="J30" s="126"/>
    </row>
    <row r="32" spans="9:10" ht="13.5">
      <c r="I32" s="117"/>
      <c r="J32" s="141"/>
    </row>
    <row r="33" spans="1:4" ht="13.5">
      <c r="A33" s="107"/>
      <c r="B33" s="107"/>
      <c r="C33" s="107"/>
      <c r="D33" s="107"/>
    </row>
    <row r="34" spans="1:4" ht="13.5">
      <c r="A34" s="107"/>
      <c r="B34" s="142"/>
      <c r="C34" s="142"/>
      <c r="D34" s="107"/>
    </row>
    <row r="35" spans="1:4" ht="13.5">
      <c r="A35" s="107"/>
      <c r="B35" s="142"/>
      <c r="C35" s="142"/>
      <c r="D35" s="107"/>
    </row>
    <row r="36" spans="1:4" ht="13.5">
      <c r="A36" s="107"/>
      <c r="B36" s="142"/>
      <c r="C36" s="142"/>
      <c r="D36" s="107"/>
    </row>
    <row r="37" spans="1:4" ht="13.5">
      <c r="A37" s="107"/>
      <c r="B37" s="142"/>
      <c r="C37" s="142"/>
      <c r="D37" s="107"/>
    </row>
    <row r="38" spans="1:4" ht="13.5">
      <c r="A38" s="107"/>
      <c r="B38" s="142"/>
      <c r="C38" s="142"/>
      <c r="D38" s="107"/>
    </row>
    <row r="39" spans="1:4" ht="13.5">
      <c r="A39" s="107"/>
      <c r="B39" s="142"/>
      <c r="C39" s="142"/>
      <c r="D39" s="107"/>
    </row>
    <row r="40" spans="1:4" ht="13.5">
      <c r="A40" s="107"/>
      <c r="B40" s="142"/>
      <c r="C40" s="142"/>
      <c r="D40" s="107"/>
    </row>
    <row r="41" spans="1:4" ht="13.5">
      <c r="A41" s="107"/>
      <c r="B41" s="142"/>
      <c r="C41" s="142"/>
      <c r="D41" s="107"/>
    </row>
    <row r="42" spans="1:4" ht="13.5">
      <c r="A42" s="107"/>
      <c r="B42" s="142"/>
      <c r="C42" s="143"/>
      <c r="D42" s="107"/>
    </row>
    <row r="43" spans="1:4" ht="13.5">
      <c r="A43" s="107"/>
      <c r="B43" s="144"/>
      <c r="C43" s="142"/>
      <c r="D43" s="107"/>
    </row>
    <row r="44" spans="1:4" ht="13.5">
      <c r="A44" s="107"/>
      <c r="B44" s="142"/>
      <c r="C44" s="143"/>
      <c r="D44" s="107"/>
    </row>
    <row r="45" spans="1:4" ht="13.5">
      <c r="A45" s="107"/>
      <c r="B45" s="107"/>
      <c r="C45" s="107"/>
      <c r="D45" s="107"/>
    </row>
  </sheetData>
  <sheetProtection/>
  <mergeCells count="1">
    <mergeCell ref="B4:F4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568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473</v>
      </c>
      <c r="E7" s="6" t="s">
        <v>97</v>
      </c>
      <c r="F7" s="36">
        <f>(0.46+0.4)*0.555*10</f>
        <v>4.7730000000000015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569</v>
      </c>
      <c r="E8" s="6" t="s">
        <v>97</v>
      </c>
      <c r="F8" s="34">
        <f>4.8-3.1</f>
        <v>1.6999999999999997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570</v>
      </c>
      <c r="E9" s="6" t="s">
        <v>97</v>
      </c>
      <c r="F9" s="36">
        <f>(0.56*0.1+0.36*0.03+0.46*0.425-0.065*0.065*0.5*2+(0.1+0.108)/2*0.27*2)*10</f>
        <v>3.1423500000000004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476</v>
      </c>
      <c r="E10" s="6" t="s">
        <v>393</v>
      </c>
      <c r="F10" s="36">
        <f>0.56*10</f>
        <v>5.6000000000000005</v>
      </c>
      <c r="I10" s="32"/>
      <c r="J10" s="80"/>
    </row>
    <row r="11" spans="2:10" ht="30" customHeight="1">
      <c r="B11" s="5" t="s">
        <v>291</v>
      </c>
      <c r="C11" s="6" t="s">
        <v>292</v>
      </c>
      <c r="D11" s="76" t="s">
        <v>571</v>
      </c>
      <c r="E11" s="6" t="s">
        <v>97</v>
      </c>
      <c r="F11" s="9">
        <f>0.56*0.1*10</f>
        <v>0.56</v>
      </c>
      <c r="I11" s="32"/>
      <c r="J11" s="80"/>
    </row>
    <row r="12" spans="2:10" ht="30" customHeight="1">
      <c r="B12" s="5" t="s">
        <v>455</v>
      </c>
      <c r="C12" s="6" t="s">
        <v>553</v>
      </c>
      <c r="D12" s="37">
        <v>10</v>
      </c>
      <c r="E12" s="6" t="s">
        <v>397</v>
      </c>
      <c r="F12" s="9">
        <f>10</f>
        <v>10</v>
      </c>
      <c r="I12" s="32"/>
      <c r="J12" s="80"/>
    </row>
    <row r="13" spans="2:10" ht="30" customHeight="1">
      <c r="B13" s="5" t="s">
        <v>507</v>
      </c>
      <c r="C13" s="6"/>
      <c r="D13" s="37" t="s">
        <v>572</v>
      </c>
      <c r="E13" s="6" t="s">
        <v>97</v>
      </c>
      <c r="F13" s="9">
        <f>(0.1+0.108)/2*0.27*10*2/0.9</f>
        <v>0.6240000000000001</v>
      </c>
      <c r="I13" s="32"/>
      <c r="J13" s="80"/>
    </row>
    <row r="14" spans="2:10" ht="30" customHeight="1">
      <c r="B14" s="5" t="s">
        <v>510</v>
      </c>
      <c r="C14" s="6"/>
      <c r="D14" s="37" t="s">
        <v>574</v>
      </c>
      <c r="E14" s="6" t="s">
        <v>97</v>
      </c>
      <c r="F14" s="9">
        <f>(0.1+0.108)/2*0.27*10*2</f>
        <v>0.5616000000000001</v>
      </c>
      <c r="I14" s="32"/>
      <c r="J14" s="80"/>
    </row>
    <row r="15" spans="2:10" ht="30" customHeight="1">
      <c r="B15" s="52"/>
      <c r="C15" s="6"/>
      <c r="D15" s="76"/>
      <c r="E15" s="6"/>
      <c r="F15" s="9"/>
      <c r="I15" s="32"/>
      <c r="J15" s="80"/>
    </row>
    <row r="16" spans="2:10" ht="30" customHeight="1">
      <c r="B16" s="5"/>
      <c r="C16" s="6"/>
      <c r="D16" s="3" t="s">
        <v>457</v>
      </c>
      <c r="E16" s="6"/>
      <c r="F16" s="38"/>
      <c r="I16" s="32"/>
      <c r="J16" s="80"/>
    </row>
    <row r="17" spans="2:10" ht="30" customHeight="1">
      <c r="B17" s="5"/>
      <c r="C17" s="6"/>
      <c r="D17" s="10"/>
      <c r="E17" s="6"/>
      <c r="F17" s="77"/>
      <c r="I17" s="32"/>
      <c r="J17" s="80"/>
    </row>
    <row r="18" spans="2:10" ht="30" customHeight="1">
      <c r="B18" s="5"/>
      <c r="C18" s="6"/>
      <c r="D18" s="10"/>
      <c r="E18" s="6"/>
      <c r="F18" s="77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575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482</v>
      </c>
      <c r="E7" s="6" t="s">
        <v>97</v>
      </c>
      <c r="F7" s="36">
        <f>(0.25+0.4)*0.44*10</f>
        <v>2.8600000000000003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576</v>
      </c>
      <c r="E8" s="6" t="s">
        <v>97</v>
      </c>
      <c r="F8" s="34">
        <f>2.9-1.5</f>
        <v>1.4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577</v>
      </c>
      <c r="E9" s="6" t="s">
        <v>97</v>
      </c>
      <c r="F9" s="36">
        <f>(0.38*0.2+0.18*0.02+0.25*0.22-0.04*0.04*0.5*2+0.1*0.1*2)*10</f>
        <v>1.5300000000000002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451</v>
      </c>
      <c r="E10" s="6" t="s">
        <v>393</v>
      </c>
      <c r="F10" s="36">
        <f>0.38*10</f>
        <v>3.8</v>
      </c>
      <c r="I10" s="32"/>
      <c r="J10" s="80"/>
    </row>
    <row r="11" spans="2:10" ht="30" customHeight="1">
      <c r="B11" s="5" t="s">
        <v>291</v>
      </c>
      <c r="C11" s="6" t="s">
        <v>292</v>
      </c>
      <c r="D11" s="76" t="s">
        <v>453</v>
      </c>
      <c r="E11" s="6" t="s">
        <v>97</v>
      </c>
      <c r="F11" s="9">
        <f>0.38*0.1*10</f>
        <v>0.38000000000000006</v>
      </c>
      <c r="I11" s="32"/>
      <c r="J11" s="80"/>
    </row>
    <row r="12" spans="2:10" ht="30" customHeight="1">
      <c r="B12" s="5" t="s">
        <v>320</v>
      </c>
      <c r="C12" s="6">
        <v>0</v>
      </c>
      <c r="D12" s="76" t="s">
        <v>486</v>
      </c>
      <c r="E12" s="6" t="s">
        <v>393</v>
      </c>
      <c r="F12" s="9">
        <f>0.1*2*10</f>
        <v>2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453</v>
      </c>
      <c r="E13" s="6" t="s">
        <v>97</v>
      </c>
      <c r="F13" s="9">
        <f>0.38*0.1*10</f>
        <v>0.38000000000000006</v>
      </c>
      <c r="I13" s="32"/>
      <c r="J13" s="80"/>
    </row>
    <row r="14" spans="2:10" ht="30" customHeight="1">
      <c r="B14" s="5" t="s">
        <v>455</v>
      </c>
      <c r="C14" s="6" t="s">
        <v>553</v>
      </c>
      <c r="D14" s="37">
        <v>10</v>
      </c>
      <c r="E14" s="6" t="s">
        <v>397</v>
      </c>
      <c r="F14" s="9">
        <f>10</f>
        <v>10</v>
      </c>
      <c r="I14" s="32"/>
      <c r="J14" s="80"/>
    </row>
    <row r="15" spans="2:10" ht="30" customHeight="1">
      <c r="B15" s="5" t="s">
        <v>507</v>
      </c>
      <c r="C15" s="6"/>
      <c r="D15" s="37" t="s">
        <v>554</v>
      </c>
      <c r="E15" s="6" t="s">
        <v>97</v>
      </c>
      <c r="F15" s="9">
        <f>0.1*0.1*10*2/0.9</f>
        <v>0.22222222222222227</v>
      </c>
      <c r="I15" s="32"/>
      <c r="J15" s="80"/>
    </row>
    <row r="16" spans="2:10" ht="30" customHeight="1">
      <c r="B16" s="5" t="s">
        <v>510</v>
      </c>
      <c r="C16" s="6"/>
      <c r="D16" s="37" t="s">
        <v>555</v>
      </c>
      <c r="E16" s="6" t="s">
        <v>97</v>
      </c>
      <c r="F16" s="9">
        <f>0.1*0.1*10*2</f>
        <v>0.20000000000000004</v>
      </c>
      <c r="I16" s="32"/>
      <c r="J16" s="80"/>
    </row>
    <row r="17" spans="2:10" ht="30" customHeight="1">
      <c r="B17" s="52"/>
      <c r="C17" s="6"/>
      <c r="D17" s="76"/>
      <c r="E17" s="6"/>
      <c r="F17" s="9"/>
      <c r="I17" s="32"/>
      <c r="J17" s="80"/>
    </row>
    <row r="18" spans="2:10" ht="30" customHeight="1">
      <c r="B18" s="5"/>
      <c r="C18" s="6"/>
      <c r="D18" s="3" t="s">
        <v>457</v>
      </c>
      <c r="E18" s="6"/>
      <c r="F18" s="38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578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579</v>
      </c>
    </row>
    <row r="5" spans="2:10" ht="20.25" customHeight="1">
      <c r="B5" s="26" t="s">
        <v>59</v>
      </c>
      <c r="C5" s="27" t="s">
        <v>580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490</v>
      </c>
      <c r="E7" s="6" t="s">
        <v>97</v>
      </c>
      <c r="F7" s="36">
        <f>(0.33+0.4)*0.51*10</f>
        <v>3.7230000000000003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581</v>
      </c>
      <c r="E8" s="6" t="s">
        <v>97</v>
      </c>
      <c r="F8" s="34">
        <f>3.7-2.2</f>
        <v>1.5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582</v>
      </c>
      <c r="E9" s="6" t="s">
        <v>97</v>
      </c>
      <c r="F9" s="36">
        <f>(0.44*0.2+0.24*0.02+0.33*0.29-0.05*0.05*0.5*2+(0.1+0.104)/2*0.16*2)*10</f>
        <v>2.1864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517</v>
      </c>
      <c r="E10" s="6" t="s">
        <v>393</v>
      </c>
      <c r="F10" s="36">
        <f>0.44*10</f>
        <v>4.4</v>
      </c>
      <c r="I10" s="32"/>
      <c r="J10" s="80"/>
    </row>
    <row r="11" spans="2:10" ht="30" customHeight="1">
      <c r="B11" s="5" t="s">
        <v>291</v>
      </c>
      <c r="C11" s="6" t="s">
        <v>292</v>
      </c>
      <c r="D11" s="76" t="s">
        <v>463</v>
      </c>
      <c r="E11" s="6" t="s">
        <v>97</v>
      </c>
      <c r="F11" s="9">
        <f>0.44*0.1*10</f>
        <v>0.44000000000000006</v>
      </c>
      <c r="I11" s="32"/>
      <c r="J11" s="80"/>
    </row>
    <row r="12" spans="2:10" ht="30" customHeight="1">
      <c r="B12" s="5" t="s">
        <v>320</v>
      </c>
      <c r="C12" s="6">
        <v>0</v>
      </c>
      <c r="D12" s="76" t="s">
        <v>583</v>
      </c>
      <c r="E12" s="6" t="s">
        <v>393</v>
      </c>
      <c r="F12" s="9">
        <f>0.1*2*10</f>
        <v>2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463</v>
      </c>
      <c r="E13" s="6" t="s">
        <v>97</v>
      </c>
      <c r="F13" s="9">
        <f>0.44*0.1*10</f>
        <v>0.44000000000000006</v>
      </c>
      <c r="I13" s="32"/>
      <c r="J13" s="80"/>
    </row>
    <row r="14" spans="2:10" ht="30" customHeight="1">
      <c r="B14" s="5" t="s">
        <v>455</v>
      </c>
      <c r="C14" s="6" t="s">
        <v>553</v>
      </c>
      <c r="D14" s="37">
        <v>10</v>
      </c>
      <c r="E14" s="6" t="s">
        <v>397</v>
      </c>
      <c r="F14" s="9">
        <f>10</f>
        <v>10</v>
      </c>
      <c r="I14" s="32"/>
      <c r="J14" s="80"/>
    </row>
    <row r="15" spans="2:10" ht="30" customHeight="1">
      <c r="B15" s="5" t="s">
        <v>507</v>
      </c>
      <c r="C15" s="6"/>
      <c r="D15" s="37" t="s">
        <v>560</v>
      </c>
      <c r="E15" s="6" t="s">
        <v>97</v>
      </c>
      <c r="F15" s="9">
        <f>(0.1+0.104)/2*0.16*10*2/0.9</f>
        <v>0.3626666666666667</v>
      </c>
      <c r="I15" s="32"/>
      <c r="J15" s="80"/>
    </row>
    <row r="16" spans="2:10" ht="30" customHeight="1">
      <c r="B16" s="5" t="s">
        <v>510</v>
      </c>
      <c r="C16" s="6"/>
      <c r="D16" s="37" t="s">
        <v>561</v>
      </c>
      <c r="E16" s="6" t="s">
        <v>97</v>
      </c>
      <c r="F16" s="9">
        <f>(0.1+0.104)/2*0.16*10*2</f>
        <v>0.3264</v>
      </c>
      <c r="I16" s="32"/>
      <c r="J16" s="80"/>
    </row>
    <row r="17" spans="2:10" ht="30" customHeight="1">
      <c r="B17" s="52"/>
      <c r="C17" s="6"/>
      <c r="D17" s="76"/>
      <c r="E17" s="6"/>
      <c r="F17" s="9"/>
      <c r="I17" s="32"/>
      <c r="J17" s="80"/>
    </row>
    <row r="18" spans="2:10" ht="30" customHeight="1">
      <c r="B18" s="5"/>
      <c r="C18" s="6"/>
      <c r="D18" s="3" t="s">
        <v>457</v>
      </c>
      <c r="E18" s="6"/>
      <c r="F18" s="38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584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585</v>
      </c>
      <c r="E7" s="6" t="s">
        <v>97</v>
      </c>
      <c r="F7" s="36">
        <f>(0.4+0.4)*0.58*10</f>
        <v>4.64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586</v>
      </c>
      <c r="E8" s="6" t="s">
        <v>97</v>
      </c>
      <c r="F8" s="34">
        <f>4.6-2.9</f>
        <v>1.6999999999999997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587</v>
      </c>
      <c r="E9" s="6" t="s">
        <v>97</v>
      </c>
      <c r="F9" s="36">
        <f>(0.5*0.2+0.3*0.02+0.4*0.36-0.06*0.06*0.5*2+(0.1+0.108)/2*0.2*2)*10</f>
        <v>2.8800000000000003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588</v>
      </c>
      <c r="E10" s="6" t="s">
        <v>393</v>
      </c>
      <c r="F10" s="36">
        <f>0.5*10</f>
        <v>5</v>
      </c>
      <c r="I10" s="32"/>
      <c r="J10" s="80"/>
    </row>
    <row r="11" spans="2:10" ht="30" customHeight="1">
      <c r="B11" s="5" t="s">
        <v>291</v>
      </c>
      <c r="C11" s="6" t="s">
        <v>292</v>
      </c>
      <c r="D11" s="76" t="s">
        <v>470</v>
      </c>
      <c r="E11" s="6" t="s">
        <v>97</v>
      </c>
      <c r="F11" s="9">
        <f>0.5*0.1*10</f>
        <v>0.5</v>
      </c>
      <c r="I11" s="32"/>
      <c r="J11" s="80"/>
    </row>
    <row r="12" spans="2:10" ht="30" customHeight="1">
      <c r="B12" s="5" t="s">
        <v>320</v>
      </c>
      <c r="C12" s="6">
        <v>0</v>
      </c>
      <c r="D12" s="76" t="s">
        <v>486</v>
      </c>
      <c r="E12" s="6" t="s">
        <v>393</v>
      </c>
      <c r="F12" s="9">
        <f>0.1*2*10</f>
        <v>2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589</v>
      </c>
      <c r="E13" s="6" t="s">
        <v>97</v>
      </c>
      <c r="F13" s="9">
        <f>0.5*0.1*10</f>
        <v>0.5</v>
      </c>
      <c r="I13" s="32"/>
      <c r="J13" s="80"/>
    </row>
    <row r="14" spans="2:10" ht="30" customHeight="1">
      <c r="B14" s="5" t="s">
        <v>455</v>
      </c>
      <c r="C14" s="6" t="s">
        <v>553</v>
      </c>
      <c r="D14" s="37">
        <v>10</v>
      </c>
      <c r="E14" s="6" t="s">
        <v>397</v>
      </c>
      <c r="F14" s="9">
        <f>10</f>
        <v>10</v>
      </c>
      <c r="I14" s="32"/>
      <c r="J14" s="80"/>
    </row>
    <row r="15" spans="2:10" ht="30" customHeight="1">
      <c r="B15" s="5" t="s">
        <v>507</v>
      </c>
      <c r="C15" s="6"/>
      <c r="D15" s="37" t="s">
        <v>566</v>
      </c>
      <c r="E15" s="6" t="s">
        <v>97</v>
      </c>
      <c r="F15" s="9">
        <f>(0.1+0.108)/2*0.21*10*2/0.9</f>
        <v>0.48533333333333334</v>
      </c>
      <c r="I15" s="32"/>
      <c r="J15" s="80"/>
    </row>
    <row r="16" spans="2:10" ht="30" customHeight="1">
      <c r="B16" s="5" t="s">
        <v>510</v>
      </c>
      <c r="C16" s="6"/>
      <c r="D16" s="37" t="s">
        <v>590</v>
      </c>
      <c r="E16" s="6" t="s">
        <v>97</v>
      </c>
      <c r="F16" s="9">
        <f>(0.1+0.108)/2*0.21*10*2</f>
        <v>0.4368</v>
      </c>
      <c r="I16" s="32"/>
      <c r="J16" s="80"/>
    </row>
    <row r="17" spans="2:10" ht="30" customHeight="1">
      <c r="B17" s="52"/>
      <c r="C17" s="6"/>
      <c r="D17" s="76"/>
      <c r="E17" s="6"/>
      <c r="F17" s="9"/>
      <c r="I17" s="32"/>
      <c r="J17" s="80"/>
    </row>
    <row r="18" spans="2:10" ht="30" customHeight="1">
      <c r="B18" s="5"/>
      <c r="C18" s="6"/>
      <c r="D18" s="3" t="s">
        <v>457</v>
      </c>
      <c r="E18" s="6"/>
      <c r="F18" s="38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591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481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498</v>
      </c>
      <c r="E7" s="6" t="s">
        <v>97</v>
      </c>
      <c r="F7" s="36">
        <f>(0.46+0.4)*0.645*10</f>
        <v>5.547000000000001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592</v>
      </c>
      <c r="E8" s="6" t="s">
        <v>97</v>
      </c>
      <c r="F8" s="34">
        <f>5.5-3.7</f>
        <v>1.7999999999999998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593</v>
      </c>
      <c r="E9" s="6" t="s">
        <v>97</v>
      </c>
      <c r="F9" s="36">
        <f>(0.56*0.2+0.36*0.02+0.46*0.425-0.065*0.065*0.5*2+(0.1+0.108)/2*0.27*2)*10</f>
        <v>3.6663500000000004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594</v>
      </c>
      <c r="E10" s="6" t="s">
        <v>393</v>
      </c>
      <c r="F10" s="36">
        <f>0.56*10</f>
        <v>5.6000000000000005</v>
      </c>
      <c r="I10" s="32"/>
      <c r="J10" s="80"/>
    </row>
    <row r="11" spans="2:10" ht="30" customHeight="1">
      <c r="B11" s="5" t="s">
        <v>291</v>
      </c>
      <c r="C11" s="6" t="s">
        <v>292</v>
      </c>
      <c r="D11" s="76" t="s">
        <v>478</v>
      </c>
      <c r="E11" s="6" t="s">
        <v>97</v>
      </c>
      <c r="F11" s="9">
        <f>0.56*0.1*10</f>
        <v>0.56</v>
      </c>
      <c r="I11" s="32"/>
      <c r="J11" s="80"/>
    </row>
    <row r="12" spans="2:10" ht="30" customHeight="1">
      <c r="B12" s="5" t="s">
        <v>320</v>
      </c>
      <c r="C12" s="6">
        <v>0</v>
      </c>
      <c r="D12" s="76" t="s">
        <v>595</v>
      </c>
      <c r="E12" s="6" t="s">
        <v>393</v>
      </c>
      <c r="F12" s="9">
        <f>0.1*2*10</f>
        <v>2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571</v>
      </c>
      <c r="E13" s="6" t="s">
        <v>97</v>
      </c>
      <c r="F13" s="9">
        <f>0.56*0.1*10</f>
        <v>0.56</v>
      </c>
      <c r="I13" s="32"/>
      <c r="J13" s="80"/>
    </row>
    <row r="14" spans="2:10" ht="30" customHeight="1">
      <c r="B14" s="5" t="s">
        <v>455</v>
      </c>
      <c r="C14" s="6" t="s">
        <v>553</v>
      </c>
      <c r="D14" s="37">
        <v>10</v>
      </c>
      <c r="E14" s="6" t="s">
        <v>397</v>
      </c>
      <c r="F14" s="9">
        <f>10</f>
        <v>10</v>
      </c>
      <c r="I14" s="32"/>
      <c r="J14" s="80"/>
    </row>
    <row r="15" spans="2:10" ht="30" customHeight="1">
      <c r="B15" s="5" t="s">
        <v>507</v>
      </c>
      <c r="C15" s="6"/>
      <c r="D15" s="37" t="s">
        <v>596</v>
      </c>
      <c r="E15" s="6" t="s">
        <v>97</v>
      </c>
      <c r="F15" s="9">
        <f>(0.1+0.108)/2*0.27*10*2/0.9</f>
        <v>0.6240000000000001</v>
      </c>
      <c r="I15" s="32"/>
      <c r="J15" s="80"/>
    </row>
    <row r="16" spans="2:10" ht="30" customHeight="1">
      <c r="B16" s="5" t="s">
        <v>510</v>
      </c>
      <c r="C16" s="6"/>
      <c r="D16" s="37" t="s">
        <v>573</v>
      </c>
      <c r="E16" s="6" t="s">
        <v>97</v>
      </c>
      <c r="F16" s="9">
        <f>(0.1+0.108)/2*0.27*10*2</f>
        <v>0.5616000000000001</v>
      </c>
      <c r="I16" s="32"/>
      <c r="J16" s="80"/>
    </row>
    <row r="17" spans="2:10" ht="30" customHeight="1">
      <c r="B17" s="52"/>
      <c r="C17" s="6"/>
      <c r="D17" s="76"/>
      <c r="E17" s="6"/>
      <c r="F17" s="9"/>
      <c r="I17" s="32"/>
      <c r="J17" s="80"/>
    </row>
    <row r="18" spans="2:10" ht="30" customHeight="1">
      <c r="B18" s="5"/>
      <c r="C18" s="6"/>
      <c r="D18" s="3" t="s">
        <v>457</v>
      </c>
      <c r="E18" s="6"/>
      <c r="F18" s="38"/>
      <c r="I18" s="32"/>
      <c r="J18" s="80"/>
    </row>
    <row r="19" spans="2:10" ht="30" customHeight="1">
      <c r="B19" s="5"/>
      <c r="C19" s="6"/>
      <c r="D19" s="10"/>
      <c r="E19" s="6"/>
      <c r="F19" s="54"/>
      <c r="I19" s="32"/>
      <c r="J19" s="80"/>
    </row>
    <row r="20" spans="2:10" ht="30" customHeight="1">
      <c r="B20" s="5"/>
      <c r="C20" s="6"/>
      <c r="D20" s="10"/>
      <c r="E20" s="6"/>
      <c r="F20" s="54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75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5.62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597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82" t="s">
        <v>598</v>
      </c>
      <c r="C7" s="6">
        <v>0</v>
      </c>
      <c r="D7" s="3"/>
      <c r="E7" s="6">
        <v>0</v>
      </c>
      <c r="F7" s="36"/>
      <c r="I7" s="32"/>
      <c r="J7" s="75"/>
    </row>
    <row r="8" spans="2:10" ht="30" customHeight="1">
      <c r="B8" s="52" t="s">
        <v>599</v>
      </c>
      <c r="C8" s="6" t="s">
        <v>600</v>
      </c>
      <c r="D8" s="3" t="s">
        <v>601</v>
      </c>
      <c r="E8" s="6" t="s">
        <v>602</v>
      </c>
      <c r="F8" s="62">
        <f>10/0.6</f>
        <v>16.666666666666668</v>
      </c>
      <c r="I8" s="32"/>
      <c r="J8" s="75"/>
    </row>
    <row r="9" spans="2:10" ht="30" customHeight="1">
      <c r="B9" s="82" t="s">
        <v>603</v>
      </c>
      <c r="C9" s="6">
        <v>0</v>
      </c>
      <c r="D9" s="3"/>
      <c r="E9" s="6">
        <v>0</v>
      </c>
      <c r="F9" s="40"/>
      <c r="I9" s="32"/>
      <c r="J9" s="75"/>
    </row>
    <row r="10" spans="2:10" ht="30" customHeight="1">
      <c r="B10" s="52" t="s">
        <v>599</v>
      </c>
      <c r="C10" s="6" t="s">
        <v>604</v>
      </c>
      <c r="D10" s="3" t="s">
        <v>601</v>
      </c>
      <c r="E10" s="6" t="s">
        <v>602</v>
      </c>
      <c r="F10" s="62">
        <f>10/0.6</f>
        <v>16.666666666666668</v>
      </c>
      <c r="I10" s="32"/>
      <c r="J10" s="75"/>
    </row>
    <row r="11" spans="2:10" ht="30" customHeight="1">
      <c r="B11" s="82" t="s">
        <v>605</v>
      </c>
      <c r="C11" s="6">
        <v>0</v>
      </c>
      <c r="D11" s="76"/>
      <c r="E11" s="6"/>
      <c r="F11" s="9"/>
      <c r="I11" s="32"/>
      <c r="J11" s="75"/>
    </row>
    <row r="12" spans="2:10" ht="30" customHeight="1">
      <c r="B12" s="52" t="s">
        <v>599</v>
      </c>
      <c r="C12" s="6" t="s">
        <v>606</v>
      </c>
      <c r="D12" s="3" t="s">
        <v>601</v>
      </c>
      <c r="E12" s="6" t="s">
        <v>602</v>
      </c>
      <c r="F12" s="62">
        <f>10/0.6</f>
        <v>16.666666666666668</v>
      </c>
      <c r="I12" s="32"/>
      <c r="J12" s="75"/>
    </row>
    <row r="13" spans="2:10" ht="30" customHeight="1">
      <c r="B13" s="82" t="s">
        <v>607</v>
      </c>
      <c r="C13" s="6">
        <v>0</v>
      </c>
      <c r="D13" s="37"/>
      <c r="E13" s="6"/>
      <c r="F13" s="40"/>
      <c r="I13" s="32"/>
      <c r="J13" s="75"/>
    </row>
    <row r="14" spans="2:10" ht="30" customHeight="1">
      <c r="B14" s="52" t="s">
        <v>599</v>
      </c>
      <c r="C14" s="6" t="s">
        <v>608</v>
      </c>
      <c r="D14" s="3" t="s">
        <v>601</v>
      </c>
      <c r="E14" s="6" t="s">
        <v>602</v>
      </c>
      <c r="F14" s="62">
        <f>10/0.6</f>
        <v>16.666666666666668</v>
      </c>
      <c r="I14" s="32"/>
      <c r="J14" s="75"/>
    </row>
    <row r="15" spans="2:10" ht="30" customHeight="1">
      <c r="B15" s="5"/>
      <c r="C15" s="6"/>
      <c r="D15" s="37"/>
      <c r="E15" s="6"/>
      <c r="F15" s="38"/>
      <c r="I15" s="32"/>
      <c r="J15" s="75"/>
    </row>
    <row r="16" spans="2:10" ht="30" customHeight="1">
      <c r="B16" s="52"/>
      <c r="C16" s="6"/>
      <c r="D16" s="3"/>
      <c r="E16" s="6"/>
      <c r="F16" s="9"/>
      <c r="I16" s="32"/>
      <c r="J16" s="75"/>
    </row>
    <row r="17" spans="2:10" ht="30" customHeight="1">
      <c r="B17" s="52"/>
      <c r="C17" s="6"/>
      <c r="D17" s="76"/>
      <c r="E17" s="6"/>
      <c r="F17" s="9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5.62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609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610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82" t="s">
        <v>611</v>
      </c>
      <c r="C7" s="6">
        <v>0</v>
      </c>
      <c r="D7" s="3"/>
      <c r="E7" s="6">
        <v>0</v>
      </c>
      <c r="F7" s="36"/>
      <c r="I7" s="32"/>
      <c r="J7" s="75"/>
    </row>
    <row r="8" spans="2:10" ht="30" customHeight="1">
      <c r="B8" s="52" t="s">
        <v>612</v>
      </c>
      <c r="C8" s="6" t="s">
        <v>613</v>
      </c>
      <c r="D8" s="3" t="s">
        <v>615</v>
      </c>
      <c r="E8" s="6" t="s">
        <v>602</v>
      </c>
      <c r="F8" s="83">
        <f>10/1</f>
        <v>10</v>
      </c>
      <c r="I8" s="32"/>
      <c r="J8" s="75"/>
    </row>
    <row r="9" spans="2:10" ht="30" customHeight="1">
      <c r="B9" s="82" t="s">
        <v>616</v>
      </c>
      <c r="C9" s="6">
        <v>0</v>
      </c>
      <c r="D9" s="3"/>
      <c r="E9" s="6">
        <v>0</v>
      </c>
      <c r="F9" s="40"/>
      <c r="I9" s="32"/>
      <c r="J9" s="75"/>
    </row>
    <row r="10" spans="2:10" ht="30" customHeight="1">
      <c r="B10" s="52" t="s">
        <v>612</v>
      </c>
      <c r="C10" s="6" t="s">
        <v>617</v>
      </c>
      <c r="D10" s="3" t="s">
        <v>614</v>
      </c>
      <c r="E10" s="6" t="s">
        <v>602</v>
      </c>
      <c r="F10" s="40">
        <f>10/1</f>
        <v>10</v>
      </c>
      <c r="I10" s="32"/>
      <c r="J10" s="75"/>
    </row>
    <row r="11" spans="2:10" ht="30" customHeight="1">
      <c r="B11" s="82" t="s">
        <v>618</v>
      </c>
      <c r="C11" s="6">
        <v>0</v>
      </c>
      <c r="D11" s="76"/>
      <c r="E11" s="6"/>
      <c r="F11" s="9"/>
      <c r="I11" s="32"/>
      <c r="J11" s="75"/>
    </row>
    <row r="12" spans="2:10" ht="30" customHeight="1">
      <c r="B12" s="52" t="s">
        <v>612</v>
      </c>
      <c r="C12" s="6" t="s">
        <v>619</v>
      </c>
      <c r="D12" s="3" t="s">
        <v>615</v>
      </c>
      <c r="E12" s="6" t="s">
        <v>602</v>
      </c>
      <c r="F12" s="40">
        <f>10/1</f>
        <v>10</v>
      </c>
      <c r="I12" s="32"/>
      <c r="J12" s="75"/>
    </row>
    <row r="13" spans="2:10" ht="30" customHeight="1">
      <c r="B13" s="82" t="s">
        <v>620</v>
      </c>
      <c r="C13" s="6">
        <v>0</v>
      </c>
      <c r="D13" s="37"/>
      <c r="E13" s="6"/>
      <c r="F13" s="40"/>
      <c r="I13" s="32"/>
      <c r="J13" s="75"/>
    </row>
    <row r="14" spans="2:10" ht="30" customHeight="1">
      <c r="B14" s="52" t="s">
        <v>612</v>
      </c>
      <c r="C14" s="6" t="s">
        <v>621</v>
      </c>
      <c r="D14" s="3" t="s">
        <v>615</v>
      </c>
      <c r="E14" s="6" t="s">
        <v>602</v>
      </c>
      <c r="F14" s="40">
        <f>10/1</f>
        <v>10</v>
      </c>
      <c r="I14" s="32"/>
      <c r="J14" s="75"/>
    </row>
    <row r="15" spans="2:10" ht="30" customHeight="1">
      <c r="B15" s="5"/>
      <c r="C15" s="6"/>
      <c r="D15" s="37"/>
      <c r="E15" s="6"/>
      <c r="F15" s="38"/>
      <c r="I15" s="32"/>
      <c r="J15" s="75"/>
    </row>
    <row r="16" spans="2:10" ht="30" customHeight="1">
      <c r="B16" s="52"/>
      <c r="C16" s="6"/>
      <c r="D16" s="3"/>
      <c r="E16" s="6"/>
      <c r="F16" s="9"/>
      <c r="I16" s="32"/>
      <c r="J16" s="75"/>
    </row>
    <row r="17" spans="2:10" ht="30" customHeight="1">
      <c r="B17" s="52"/>
      <c r="C17" s="6"/>
      <c r="D17" s="76"/>
      <c r="E17" s="6"/>
      <c r="F17" s="9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5.62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622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82" t="s">
        <v>623</v>
      </c>
      <c r="C7" s="6">
        <v>0</v>
      </c>
      <c r="D7" s="3"/>
      <c r="E7" s="6">
        <v>0</v>
      </c>
      <c r="F7" s="36"/>
      <c r="I7" s="32"/>
      <c r="J7" s="75"/>
    </row>
    <row r="8" spans="2:10" ht="30" customHeight="1">
      <c r="B8" s="52" t="s">
        <v>612</v>
      </c>
      <c r="C8" s="6" t="s">
        <v>624</v>
      </c>
      <c r="D8" s="3" t="s">
        <v>614</v>
      </c>
      <c r="E8" s="6" t="s">
        <v>602</v>
      </c>
      <c r="F8" s="83">
        <f>10/1</f>
        <v>10</v>
      </c>
      <c r="I8" s="32"/>
      <c r="J8" s="75"/>
    </row>
    <row r="9" spans="2:10" ht="30" customHeight="1">
      <c r="B9" s="82" t="s">
        <v>625</v>
      </c>
      <c r="C9" s="6">
        <v>0</v>
      </c>
      <c r="D9" s="3"/>
      <c r="E9" s="6">
        <v>0</v>
      </c>
      <c r="F9" s="40"/>
      <c r="I9" s="32"/>
      <c r="J9" s="75"/>
    </row>
    <row r="10" spans="2:10" ht="30" customHeight="1">
      <c r="B10" s="52" t="s">
        <v>612</v>
      </c>
      <c r="C10" s="6" t="s">
        <v>626</v>
      </c>
      <c r="D10" s="3" t="s">
        <v>627</v>
      </c>
      <c r="E10" s="6" t="s">
        <v>602</v>
      </c>
      <c r="F10" s="40">
        <f>10/1</f>
        <v>10</v>
      </c>
      <c r="I10" s="32"/>
      <c r="J10" s="75"/>
    </row>
    <row r="11" spans="2:10" ht="30" customHeight="1">
      <c r="B11" s="82" t="s">
        <v>628</v>
      </c>
      <c r="C11" s="6">
        <v>0</v>
      </c>
      <c r="D11" s="76"/>
      <c r="E11" s="6"/>
      <c r="F11" s="9"/>
      <c r="I11" s="32"/>
      <c r="J11" s="75"/>
    </row>
    <row r="12" spans="2:10" ht="30" customHeight="1">
      <c r="B12" s="52" t="s">
        <v>612</v>
      </c>
      <c r="C12" s="6" t="s">
        <v>629</v>
      </c>
      <c r="D12" s="3" t="s">
        <v>627</v>
      </c>
      <c r="E12" s="6" t="s">
        <v>602</v>
      </c>
      <c r="F12" s="40">
        <f>10/1</f>
        <v>10</v>
      </c>
      <c r="I12" s="32"/>
      <c r="J12" s="75"/>
    </row>
    <row r="13" spans="2:10" ht="30" customHeight="1">
      <c r="B13" s="82" t="s">
        <v>630</v>
      </c>
      <c r="C13" s="6">
        <v>0</v>
      </c>
      <c r="D13" s="37"/>
      <c r="E13" s="6"/>
      <c r="F13" s="40"/>
      <c r="I13" s="32"/>
      <c r="J13" s="75"/>
    </row>
    <row r="14" spans="2:10" ht="30" customHeight="1">
      <c r="B14" s="52" t="s">
        <v>612</v>
      </c>
      <c r="C14" s="6" t="s">
        <v>631</v>
      </c>
      <c r="D14" s="3" t="s">
        <v>614</v>
      </c>
      <c r="E14" s="6" t="s">
        <v>602</v>
      </c>
      <c r="F14" s="40">
        <f>10/1</f>
        <v>10</v>
      </c>
      <c r="I14" s="32"/>
      <c r="J14" s="75"/>
    </row>
    <row r="15" spans="2:10" ht="30" customHeight="1">
      <c r="B15" s="5"/>
      <c r="C15" s="6"/>
      <c r="D15" s="37"/>
      <c r="E15" s="6"/>
      <c r="F15" s="38"/>
      <c r="I15" s="32"/>
      <c r="J15" s="75"/>
    </row>
    <row r="16" spans="2:10" ht="30" customHeight="1">
      <c r="B16" s="52"/>
      <c r="C16" s="6"/>
      <c r="D16" s="3"/>
      <c r="E16" s="6"/>
      <c r="F16" s="9"/>
      <c r="I16" s="32"/>
      <c r="J16" s="75"/>
    </row>
    <row r="17" spans="2:10" ht="30" customHeight="1">
      <c r="B17" s="52"/>
      <c r="C17" s="6"/>
      <c r="D17" s="76"/>
      <c r="E17" s="6"/>
      <c r="F17" s="9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632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488</v>
      </c>
    </row>
    <row r="5" spans="2:10" ht="20.25" customHeight="1">
      <c r="B5" s="26" t="s">
        <v>59</v>
      </c>
      <c r="C5" s="27" t="s">
        <v>633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634</v>
      </c>
      <c r="E7" s="6" t="s">
        <v>97</v>
      </c>
      <c r="F7" s="36">
        <f>(0.25+0.4)*(0.6+0.4)*0.53*10</f>
        <v>3.4450000000000003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635</v>
      </c>
      <c r="E8" s="6" t="s">
        <v>97</v>
      </c>
      <c r="F8" s="34">
        <f>3.4-0.9</f>
        <v>2.5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636</v>
      </c>
      <c r="E9" s="6" t="s">
        <v>97</v>
      </c>
      <c r="F9" s="36">
        <f>(0.35*0.7*0.1+0.25*0.6*0.03+(0.25+0.27)/2*0.4*0.6)*10</f>
        <v>0.9140000000000001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637</v>
      </c>
      <c r="E10" s="6" t="s">
        <v>393</v>
      </c>
      <c r="F10" s="36">
        <f>0.35*0.7*10</f>
        <v>2.4499999999999997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638</v>
      </c>
      <c r="E11" s="6" t="s">
        <v>393</v>
      </c>
      <c r="F11" s="9">
        <f>0.35*0.7*10</f>
        <v>2.4499999999999997</v>
      </c>
      <c r="I11" s="32"/>
      <c r="J11" s="75"/>
    </row>
    <row r="12" spans="2:10" ht="30" customHeight="1">
      <c r="B12" s="5" t="s">
        <v>327</v>
      </c>
      <c r="C12" s="6" t="s">
        <v>297</v>
      </c>
      <c r="D12" s="37" t="s">
        <v>639</v>
      </c>
      <c r="E12" s="6" t="s">
        <v>97</v>
      </c>
      <c r="F12" s="38">
        <f>0.25*0.6*0.03*10</f>
        <v>0.045</v>
      </c>
      <c r="I12" s="32"/>
      <c r="J12" s="75"/>
    </row>
    <row r="13" spans="2:10" ht="30" customHeight="1">
      <c r="B13" s="5" t="s">
        <v>640</v>
      </c>
      <c r="C13" s="6" t="s">
        <v>298</v>
      </c>
      <c r="D13" s="37"/>
      <c r="E13" s="6" t="s">
        <v>396</v>
      </c>
      <c r="F13" s="40">
        <v>10</v>
      </c>
      <c r="I13" s="32"/>
      <c r="J13" s="75"/>
    </row>
    <row r="14" spans="2:10" ht="30" customHeight="1">
      <c r="B14" s="5"/>
      <c r="C14" s="6"/>
      <c r="D14" s="76"/>
      <c r="E14" s="6"/>
      <c r="F14" s="77"/>
      <c r="I14" s="32"/>
      <c r="J14" s="75"/>
    </row>
    <row r="15" spans="2:10" ht="30" customHeight="1">
      <c r="B15" s="5"/>
      <c r="C15" s="6"/>
      <c r="D15" s="78"/>
      <c r="E15" s="6"/>
      <c r="F15" s="79"/>
      <c r="I15" s="32"/>
      <c r="J15" s="75"/>
    </row>
    <row r="16" spans="2:10" ht="30" customHeight="1">
      <c r="B16" s="5"/>
      <c r="C16" s="6"/>
      <c r="D16" s="4"/>
      <c r="E16" s="6"/>
      <c r="F16" s="79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641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502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642</v>
      </c>
      <c r="E7" s="6" t="s">
        <v>97</v>
      </c>
      <c r="F7" s="36">
        <f>(0.31+0.4)*(0.7+0.4)*0.66*10</f>
        <v>5.1546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643</v>
      </c>
      <c r="E8" s="6" t="s">
        <v>97</v>
      </c>
      <c r="F8" s="34">
        <f>5.2-1.6</f>
        <v>3.6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644</v>
      </c>
      <c r="E9" s="6" t="s">
        <v>97</v>
      </c>
      <c r="F9" s="36">
        <f>(0.41*0.8*0.1+0.31*0.7*0.03+(0.31+0.35)/2*0.53*0.7)*10</f>
        <v>1.6174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646</v>
      </c>
      <c r="E10" s="6" t="s">
        <v>393</v>
      </c>
      <c r="F10" s="36">
        <f>0.41*0.8*10</f>
        <v>3.2800000000000002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645</v>
      </c>
      <c r="E11" s="6" t="s">
        <v>393</v>
      </c>
      <c r="F11" s="9">
        <f>0.41*0.8*10</f>
        <v>3.2800000000000002</v>
      </c>
      <c r="I11" s="32"/>
      <c r="J11" s="75"/>
    </row>
    <row r="12" spans="2:10" ht="30" customHeight="1">
      <c r="B12" s="5" t="s">
        <v>327</v>
      </c>
      <c r="C12" s="6" t="s">
        <v>297</v>
      </c>
      <c r="D12" s="37" t="s">
        <v>647</v>
      </c>
      <c r="E12" s="6" t="s">
        <v>97</v>
      </c>
      <c r="F12" s="38">
        <f>0.31*0.7*0.03*10</f>
        <v>0.06509999999999999</v>
      </c>
      <c r="I12" s="32"/>
      <c r="J12" s="75"/>
    </row>
    <row r="13" spans="2:10" ht="30" customHeight="1">
      <c r="B13" s="5" t="s">
        <v>640</v>
      </c>
      <c r="C13" s="6" t="s">
        <v>298</v>
      </c>
      <c r="D13" s="37"/>
      <c r="E13" s="6" t="s">
        <v>396</v>
      </c>
      <c r="F13" s="40">
        <v>10</v>
      </c>
      <c r="I13" s="32"/>
      <c r="J13" s="75"/>
    </row>
    <row r="14" spans="2:10" ht="30" customHeight="1">
      <c r="B14" s="5"/>
      <c r="C14" s="6"/>
      <c r="D14" s="76"/>
      <c r="E14" s="6"/>
      <c r="F14" s="77"/>
      <c r="I14" s="32"/>
      <c r="J14" s="75"/>
    </row>
    <row r="15" spans="2:10" ht="30" customHeight="1">
      <c r="B15" s="5"/>
      <c r="C15" s="6"/>
      <c r="D15" s="78"/>
      <c r="E15" s="6"/>
      <c r="F15" s="79"/>
      <c r="I15" s="32"/>
      <c r="J15" s="75"/>
    </row>
    <row r="16" spans="2:10" ht="30" customHeight="1">
      <c r="B16" s="5"/>
      <c r="C16" s="6"/>
      <c r="D16" s="4"/>
      <c r="E16" s="6"/>
      <c r="F16" s="79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workbookViewId="0" topLeftCell="A21">
      <selection activeCell="B26" sqref="B26"/>
    </sheetView>
  </sheetViews>
  <sheetFormatPr defaultColWidth="9.00390625" defaultRowHeight="13.5"/>
  <cols>
    <col min="1" max="1" width="2.00390625" style="0" customWidth="1"/>
    <col min="2" max="2" width="13.50390625" style="0" customWidth="1"/>
    <col min="3" max="3" width="15.125" style="0" customWidth="1"/>
    <col min="4" max="4" width="45.125" style="0" customWidth="1"/>
    <col min="5" max="5" width="4.625" style="0" customWidth="1"/>
    <col min="6" max="6" width="12.875" style="0" customWidth="1"/>
    <col min="7" max="7" width="1.4921875" style="0" customWidth="1"/>
    <col min="8" max="8" width="5.25390625" style="0" customWidth="1"/>
    <col min="9" max="9" width="9.125" style="0" bestFit="1" customWidth="1"/>
    <col min="10" max="10" width="9.875" style="0" bestFit="1" customWidth="1"/>
  </cols>
  <sheetData>
    <row r="1" ht="27" customHeight="1" thickBot="1">
      <c r="F1" s="99" t="s">
        <v>58</v>
      </c>
    </row>
    <row r="2" spans="2:6" ht="27.75" customHeight="1">
      <c r="B2" s="100" t="s">
        <v>65</v>
      </c>
      <c r="C2" s="101"/>
      <c r="D2" s="101"/>
      <c r="E2" s="101"/>
      <c r="F2" s="102"/>
    </row>
    <row r="3" spans="1:6" ht="22.5" customHeight="1">
      <c r="A3" s="103"/>
      <c r="B3" s="104" t="s">
        <v>1286</v>
      </c>
      <c r="C3" s="105"/>
      <c r="D3" s="106"/>
      <c r="E3" s="107"/>
      <c r="F3" s="108"/>
    </row>
    <row r="4" spans="2:6" ht="1.5" customHeight="1">
      <c r="B4" s="109"/>
      <c r="C4" s="110"/>
      <c r="D4" s="110"/>
      <c r="E4" s="110"/>
      <c r="F4" s="111"/>
    </row>
    <row r="5" spans="2:6" ht="25.5" customHeight="1">
      <c r="B5" s="112"/>
      <c r="C5" s="113"/>
      <c r="D5" s="113"/>
      <c r="E5" s="7">
        <v>10</v>
      </c>
      <c r="F5" s="8" t="s">
        <v>1130</v>
      </c>
    </row>
    <row r="6" spans="2:10" ht="20.25" customHeight="1">
      <c r="B6" s="114" t="s">
        <v>59</v>
      </c>
      <c r="C6" s="115" t="s">
        <v>60</v>
      </c>
      <c r="D6" s="115" t="s">
        <v>63</v>
      </c>
      <c r="E6" s="115" t="s">
        <v>61</v>
      </c>
      <c r="F6" s="116" t="s">
        <v>62</v>
      </c>
      <c r="I6" s="117"/>
      <c r="J6" s="117"/>
    </row>
    <row r="7" spans="2:6" ht="1.5" customHeight="1">
      <c r="B7" s="118"/>
      <c r="C7" s="119"/>
      <c r="D7" s="119"/>
      <c r="E7" s="119"/>
      <c r="F7" s="120"/>
    </row>
    <row r="8" spans="2:10" ht="30" customHeight="1">
      <c r="B8" s="121" t="s">
        <v>1131</v>
      </c>
      <c r="C8" s="122"/>
      <c r="D8" s="123" t="s">
        <v>1246</v>
      </c>
      <c r="E8" s="122" t="s">
        <v>1247</v>
      </c>
      <c r="F8" s="124">
        <f>(1.05+0.4)*0.55*10</f>
        <v>7.975000000000002</v>
      </c>
      <c r="I8" s="125"/>
      <c r="J8" s="126"/>
    </row>
    <row r="9" spans="2:10" ht="30" customHeight="1">
      <c r="B9" s="121" t="s">
        <v>1134</v>
      </c>
      <c r="C9" s="127"/>
      <c r="D9" s="123" t="s">
        <v>1248</v>
      </c>
      <c r="E9" s="122" t="s">
        <v>1247</v>
      </c>
      <c r="F9" s="124">
        <f>8-4.6</f>
        <v>3.4000000000000004</v>
      </c>
      <c r="I9" s="125"/>
      <c r="J9" s="126"/>
    </row>
    <row r="10" spans="2:10" ht="30" customHeight="1">
      <c r="B10" s="121" t="s">
        <v>1137</v>
      </c>
      <c r="C10" s="128"/>
      <c r="D10" s="123" t="s">
        <v>1287</v>
      </c>
      <c r="E10" s="122" t="s">
        <v>1133</v>
      </c>
      <c r="F10" s="124">
        <f>(1.15*0.2+1.05*0.15+0.37*0.2)*10</f>
        <v>4.614999999999999</v>
      </c>
      <c r="I10" s="125"/>
      <c r="J10" s="126"/>
    </row>
    <row r="11" spans="2:10" ht="30" customHeight="1">
      <c r="B11" s="121" t="s">
        <v>1139</v>
      </c>
      <c r="C11" s="122"/>
      <c r="D11" s="123" t="s">
        <v>1250</v>
      </c>
      <c r="E11" s="122" t="s">
        <v>1142</v>
      </c>
      <c r="F11" s="124">
        <f>1.15*10</f>
        <v>11.5</v>
      </c>
      <c r="I11" s="125"/>
      <c r="J11" s="126"/>
    </row>
    <row r="12" spans="2:10" ht="30" customHeight="1">
      <c r="B12" s="121" t="s">
        <v>1144</v>
      </c>
      <c r="C12" s="129" t="s">
        <v>1145</v>
      </c>
      <c r="D12" s="123" t="s">
        <v>1250</v>
      </c>
      <c r="E12" s="122" t="s">
        <v>1142</v>
      </c>
      <c r="F12" s="130">
        <f>1.15*10</f>
        <v>11.5</v>
      </c>
      <c r="I12" s="125"/>
      <c r="J12" s="126"/>
    </row>
    <row r="13" spans="2:10" ht="30" customHeight="1">
      <c r="B13" s="121" t="s">
        <v>1147</v>
      </c>
      <c r="C13" s="122"/>
      <c r="D13" s="123" t="s">
        <v>1251</v>
      </c>
      <c r="E13" s="122" t="s">
        <v>1142</v>
      </c>
      <c r="F13" s="130">
        <f>(1.15*0.05+0.05*10)*2</f>
        <v>1.115</v>
      </c>
      <c r="I13" s="125"/>
      <c r="J13" s="126"/>
    </row>
    <row r="14" spans="2:10" ht="30" customHeight="1">
      <c r="B14" s="121" t="s">
        <v>1149</v>
      </c>
      <c r="C14" s="131" t="s">
        <v>1150</v>
      </c>
      <c r="D14" s="123" t="s">
        <v>1252</v>
      </c>
      <c r="E14" s="122" t="s">
        <v>1154</v>
      </c>
      <c r="F14" s="130">
        <f>1.15*0.05*10</f>
        <v>0.575</v>
      </c>
      <c r="I14" s="125"/>
      <c r="J14" s="126"/>
    </row>
    <row r="15" spans="2:10" ht="30" customHeight="1">
      <c r="B15" s="121" t="s">
        <v>1156</v>
      </c>
      <c r="C15" s="122"/>
      <c r="D15" s="123" t="s">
        <v>1253</v>
      </c>
      <c r="E15" s="122" t="s">
        <v>1154</v>
      </c>
      <c r="F15" s="130">
        <f>(0.15*1.05+0.15*10)*2</f>
        <v>3.315</v>
      </c>
      <c r="I15" s="125"/>
      <c r="J15" s="126"/>
    </row>
    <row r="16" spans="2:10" ht="30" customHeight="1">
      <c r="B16" s="121" t="s">
        <v>1159</v>
      </c>
      <c r="C16" s="131" t="s">
        <v>1150</v>
      </c>
      <c r="D16" s="123" t="s">
        <v>1254</v>
      </c>
      <c r="E16" s="122" t="s">
        <v>97</v>
      </c>
      <c r="F16" s="130">
        <f>1.05*0.15*10</f>
        <v>1.575</v>
      </c>
      <c r="I16" s="125"/>
      <c r="J16" s="126"/>
    </row>
    <row r="17" spans="2:10" ht="30" customHeight="1">
      <c r="B17" s="121" t="s">
        <v>1163</v>
      </c>
      <c r="C17" s="122"/>
      <c r="D17" s="123" t="s">
        <v>1255</v>
      </c>
      <c r="E17" s="122" t="s">
        <v>97</v>
      </c>
      <c r="F17" s="130">
        <f>0.65*0.2*10</f>
        <v>1.3</v>
      </c>
      <c r="I17" s="125"/>
      <c r="J17" s="126"/>
    </row>
    <row r="18" spans="2:10" ht="30" customHeight="1">
      <c r="B18" s="121" t="s">
        <v>1166</v>
      </c>
      <c r="C18" s="131"/>
      <c r="D18" s="123" t="s">
        <v>1167</v>
      </c>
      <c r="E18" s="122" t="s">
        <v>97</v>
      </c>
      <c r="F18" s="130">
        <f>0.2*0.15*2+0.15*10</f>
        <v>1.56</v>
      </c>
      <c r="I18" s="125"/>
      <c r="J18" s="126"/>
    </row>
    <row r="19" spans="2:10" ht="30" customHeight="1">
      <c r="B19" s="121" t="s">
        <v>1169</v>
      </c>
      <c r="C19" s="131" t="s">
        <v>1150</v>
      </c>
      <c r="D19" s="123" t="s">
        <v>1170</v>
      </c>
      <c r="E19" s="122" t="s">
        <v>97</v>
      </c>
      <c r="F19" s="130">
        <f>0.15*0.2*10</f>
        <v>0.3</v>
      </c>
      <c r="I19" s="125"/>
      <c r="J19" s="126"/>
    </row>
    <row r="20" spans="2:10" ht="30" customHeight="1">
      <c r="B20" s="121" t="s">
        <v>1172</v>
      </c>
      <c r="C20" s="129" t="s">
        <v>1173</v>
      </c>
      <c r="D20" s="123" t="s">
        <v>1288</v>
      </c>
      <c r="E20" s="122" t="s">
        <v>1176</v>
      </c>
      <c r="F20" s="130">
        <f>1.97*25*0.995</f>
        <v>49.00375</v>
      </c>
      <c r="I20" s="125"/>
      <c r="J20" s="126"/>
    </row>
    <row r="21" spans="2:10" ht="30" customHeight="1">
      <c r="B21" s="121" t="s">
        <v>1178</v>
      </c>
      <c r="C21" s="122"/>
      <c r="D21" s="123" t="s">
        <v>1257</v>
      </c>
      <c r="E21" s="122" t="s">
        <v>1176</v>
      </c>
      <c r="F21" s="130">
        <f>11*10*0.56</f>
        <v>61.60000000000001</v>
      </c>
      <c r="I21" s="125"/>
      <c r="J21" s="126"/>
    </row>
    <row r="22" spans="2:10" ht="30" customHeight="1">
      <c r="B22" s="121" t="s">
        <v>1272</v>
      </c>
      <c r="C22" s="122"/>
      <c r="D22" s="123" t="s">
        <v>834</v>
      </c>
      <c r="E22" s="122" t="s">
        <v>1142</v>
      </c>
      <c r="F22" s="130">
        <f>0.15*10</f>
        <v>1.5</v>
      </c>
      <c r="I22" s="125"/>
      <c r="J22" s="126"/>
    </row>
    <row r="23" spans="2:10" ht="30" customHeight="1">
      <c r="B23" s="121" t="s">
        <v>1184</v>
      </c>
      <c r="C23" s="122"/>
      <c r="D23" s="123" t="s">
        <v>1289</v>
      </c>
      <c r="E23" s="122" t="s">
        <v>1186</v>
      </c>
      <c r="F23" s="130">
        <f>0.8*10/2*0.15</f>
        <v>0.6</v>
      </c>
      <c r="I23" s="125"/>
      <c r="J23" s="126"/>
    </row>
    <row r="24" spans="2:10" ht="30" customHeight="1">
      <c r="B24" s="121" t="s">
        <v>1188</v>
      </c>
      <c r="C24" s="122"/>
      <c r="D24" s="123" t="s">
        <v>1290</v>
      </c>
      <c r="E24" s="122" t="s">
        <v>1142</v>
      </c>
      <c r="F24" s="130">
        <f>0.1*0.1*(0.8*10/2)</f>
        <v>0.04000000000000001</v>
      </c>
      <c r="I24" s="125"/>
      <c r="J24" s="126"/>
    </row>
    <row r="25" spans="2:10" ht="30" customHeight="1">
      <c r="B25" s="121" t="s">
        <v>1275</v>
      </c>
      <c r="C25" s="122"/>
      <c r="D25" s="123" t="s">
        <v>1261</v>
      </c>
      <c r="E25" s="122" t="s">
        <v>1193</v>
      </c>
      <c r="F25" s="124">
        <f>25*5</f>
        <v>125</v>
      </c>
      <c r="I25" s="125"/>
      <c r="J25" s="126"/>
    </row>
    <row r="26" spans="2:10" ht="30" customHeight="1">
      <c r="B26" s="121" t="s">
        <v>1291</v>
      </c>
      <c r="C26" s="129" t="s">
        <v>1292</v>
      </c>
      <c r="D26" s="123" t="s">
        <v>1293</v>
      </c>
      <c r="E26" s="122" t="s">
        <v>1294</v>
      </c>
      <c r="F26" s="133">
        <f>0.026*0.01*1.2*125</f>
        <v>0.03899999999999999</v>
      </c>
      <c r="I26" s="125"/>
      <c r="J26" s="126"/>
    </row>
    <row r="27" spans="2:10" ht="30" customHeight="1">
      <c r="B27" s="121" t="s">
        <v>1200</v>
      </c>
      <c r="C27" s="131" t="s">
        <v>1295</v>
      </c>
      <c r="D27" s="123" t="s">
        <v>1264</v>
      </c>
      <c r="E27" s="122" t="s">
        <v>1294</v>
      </c>
      <c r="F27" s="132">
        <f>0.15*1*10*0.586</f>
        <v>0.879</v>
      </c>
      <c r="I27" s="125"/>
      <c r="J27" s="126"/>
    </row>
    <row r="28" spans="2:10" ht="30" customHeight="1">
      <c r="B28" s="121"/>
      <c r="C28" s="122"/>
      <c r="D28" s="123"/>
      <c r="E28" s="122"/>
      <c r="F28" s="134"/>
      <c r="I28" s="125"/>
      <c r="J28" s="126"/>
    </row>
    <row r="29" spans="2:10" ht="30" customHeight="1">
      <c r="B29" s="121"/>
      <c r="C29" s="122"/>
      <c r="D29" s="135"/>
      <c r="E29" s="122"/>
      <c r="F29" s="136"/>
      <c r="I29" s="125"/>
      <c r="J29" s="126"/>
    </row>
    <row r="30" spans="2:10" ht="30" customHeight="1" thickBot="1">
      <c r="B30" s="137"/>
      <c r="C30" s="138"/>
      <c r="D30" s="139"/>
      <c r="E30" s="138"/>
      <c r="F30" s="140"/>
      <c r="I30" s="125"/>
      <c r="J30" s="126"/>
    </row>
    <row r="32" spans="9:10" ht="13.5">
      <c r="I32" s="117"/>
      <c r="J32" s="141"/>
    </row>
    <row r="33" spans="1:4" ht="13.5">
      <c r="A33" s="107"/>
      <c r="B33" s="107"/>
      <c r="C33" s="107"/>
      <c r="D33" s="107"/>
    </row>
    <row r="34" spans="1:4" ht="13.5">
      <c r="A34" s="107"/>
      <c r="B34" s="142"/>
      <c r="C34" s="142"/>
      <c r="D34" s="107"/>
    </row>
    <row r="35" spans="1:4" ht="13.5">
      <c r="A35" s="107"/>
      <c r="B35" s="142"/>
      <c r="C35" s="142"/>
      <c r="D35" s="107"/>
    </row>
    <row r="36" spans="1:4" ht="13.5">
      <c r="A36" s="107"/>
      <c r="B36" s="142"/>
      <c r="C36" s="142"/>
      <c r="D36" s="107"/>
    </row>
    <row r="37" spans="1:4" ht="13.5">
      <c r="A37" s="107"/>
      <c r="B37" s="142"/>
      <c r="C37" s="142"/>
      <c r="D37" s="107"/>
    </row>
    <row r="38" spans="1:4" ht="13.5">
      <c r="A38" s="107"/>
      <c r="B38" s="142"/>
      <c r="C38" s="142"/>
      <c r="D38" s="107"/>
    </row>
    <row r="39" spans="1:4" ht="13.5">
      <c r="A39" s="107"/>
      <c r="B39" s="142"/>
      <c r="C39" s="142"/>
      <c r="D39" s="107"/>
    </row>
    <row r="40" spans="1:4" ht="13.5">
      <c r="A40" s="107"/>
      <c r="B40" s="142"/>
      <c r="C40" s="142"/>
      <c r="D40" s="107"/>
    </row>
    <row r="41" spans="1:4" ht="13.5">
      <c r="A41" s="107"/>
      <c r="B41" s="142"/>
      <c r="C41" s="142"/>
      <c r="D41" s="107"/>
    </row>
    <row r="42" spans="1:4" ht="13.5">
      <c r="A42" s="107"/>
      <c r="B42" s="142"/>
      <c r="C42" s="143"/>
      <c r="D42" s="107"/>
    </row>
    <row r="43" spans="1:4" ht="13.5">
      <c r="A43" s="107"/>
      <c r="B43" s="144"/>
      <c r="C43" s="142"/>
      <c r="D43" s="107"/>
    </row>
    <row r="44" spans="1:4" ht="13.5">
      <c r="A44" s="107"/>
      <c r="B44" s="142"/>
      <c r="C44" s="143"/>
      <c r="D44" s="107"/>
    </row>
    <row r="45" spans="1:4" ht="13.5">
      <c r="A45" s="107"/>
      <c r="B45" s="107"/>
      <c r="C45" s="107"/>
      <c r="D45" s="107"/>
    </row>
  </sheetData>
  <sheetProtection/>
  <mergeCells count="1">
    <mergeCell ref="B4:F4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80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648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649</v>
      </c>
      <c r="E7" s="6" t="s">
        <v>97</v>
      </c>
      <c r="F7" s="36">
        <f>(0.34+0.4)*(0.9+0.4)*0.79*10</f>
        <v>7.5998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650</v>
      </c>
      <c r="E8" s="6" t="s">
        <v>97</v>
      </c>
      <c r="F8" s="34">
        <f>7.6-2.8</f>
        <v>4.8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651</v>
      </c>
      <c r="E9" s="6" t="s">
        <v>97</v>
      </c>
      <c r="F9" s="36">
        <f>(0.44*1*0.1+0.34*0.9*0.03+(0.34+0.42)/2*0.66*0.9)*10</f>
        <v>2.7890000000000006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652</v>
      </c>
      <c r="E10" s="6" t="s">
        <v>393</v>
      </c>
      <c r="F10" s="36">
        <f>0.44*1*10</f>
        <v>4.4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653</v>
      </c>
      <c r="E11" s="6" t="s">
        <v>393</v>
      </c>
      <c r="F11" s="9">
        <f>0.44*1*10</f>
        <v>4.4</v>
      </c>
      <c r="I11" s="32"/>
      <c r="J11" s="75"/>
    </row>
    <row r="12" spans="2:10" ht="30" customHeight="1">
      <c r="B12" s="5" t="s">
        <v>327</v>
      </c>
      <c r="C12" s="6" t="s">
        <v>297</v>
      </c>
      <c r="D12" s="37" t="s">
        <v>654</v>
      </c>
      <c r="E12" s="6" t="s">
        <v>97</v>
      </c>
      <c r="F12" s="38">
        <f>0.34*0.9*0.03*10</f>
        <v>0.0918</v>
      </c>
      <c r="I12" s="32"/>
      <c r="J12" s="75"/>
    </row>
    <row r="13" spans="2:10" ht="30" customHeight="1">
      <c r="B13" s="5" t="s">
        <v>640</v>
      </c>
      <c r="C13" s="6" t="s">
        <v>298</v>
      </c>
      <c r="D13" s="37"/>
      <c r="E13" s="6" t="s">
        <v>396</v>
      </c>
      <c r="F13" s="40">
        <v>10</v>
      </c>
      <c r="I13" s="32"/>
      <c r="J13" s="75"/>
    </row>
    <row r="14" spans="2:10" ht="30" customHeight="1">
      <c r="B14" s="5"/>
      <c r="C14" s="6"/>
      <c r="D14" s="76"/>
      <c r="E14" s="6"/>
      <c r="F14" s="77"/>
      <c r="I14" s="32"/>
      <c r="J14" s="75"/>
    </row>
    <row r="15" spans="2:10" ht="30" customHeight="1">
      <c r="B15" s="5"/>
      <c r="C15" s="6"/>
      <c r="D15" s="78"/>
      <c r="E15" s="6"/>
      <c r="F15" s="79"/>
      <c r="I15" s="32"/>
      <c r="J15" s="75"/>
    </row>
    <row r="16" spans="2:10" ht="30" customHeight="1">
      <c r="B16" s="5"/>
      <c r="C16" s="6"/>
      <c r="D16" s="4"/>
      <c r="E16" s="6"/>
      <c r="F16" s="79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655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656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657</v>
      </c>
      <c r="E7" s="6" t="s">
        <v>97</v>
      </c>
      <c r="F7" s="36">
        <f>(0.25+0.06+0.06+0.4)*0.64*10</f>
        <v>4.928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658</v>
      </c>
      <c r="E8" s="6" t="s">
        <v>97</v>
      </c>
      <c r="F8" s="34">
        <f>4.9-2.7</f>
        <v>2.2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659</v>
      </c>
      <c r="E9" s="6" t="s">
        <v>97</v>
      </c>
      <c r="F9" s="36">
        <f>(0.49*0.2+0.29*0.03+(0.29+0.35)/2*0.04+0.35*0.136+(0.35+0.47)/2*0.104+0.47*0.13)*10</f>
        <v>2.7083999999999997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660</v>
      </c>
      <c r="E10" s="6" t="s">
        <v>393</v>
      </c>
      <c r="F10" s="36">
        <f>0.49*10</f>
        <v>4.9</v>
      </c>
      <c r="I10" s="32"/>
      <c r="J10" s="75"/>
    </row>
    <row r="11" spans="2:10" ht="30" customHeight="1">
      <c r="B11" s="5" t="s">
        <v>291</v>
      </c>
      <c r="C11" s="6" t="s">
        <v>292</v>
      </c>
      <c r="D11" s="76" t="s">
        <v>662</v>
      </c>
      <c r="E11" s="6" t="s">
        <v>97</v>
      </c>
      <c r="F11" s="9">
        <f>0.49*0.1*10</f>
        <v>0.49</v>
      </c>
      <c r="I11" s="32"/>
      <c r="J11" s="75"/>
    </row>
    <row r="12" spans="2:10" ht="30" customHeight="1">
      <c r="B12" s="5" t="s">
        <v>320</v>
      </c>
      <c r="C12" s="6" t="s">
        <v>663</v>
      </c>
      <c r="D12" s="37" t="s">
        <v>486</v>
      </c>
      <c r="E12" s="6" t="s">
        <v>393</v>
      </c>
      <c r="F12" s="9">
        <f>0.1*2*10</f>
        <v>2</v>
      </c>
      <c r="I12" s="32"/>
      <c r="J12" s="75"/>
    </row>
    <row r="13" spans="2:10" ht="30" customHeight="1">
      <c r="B13" s="5" t="s">
        <v>294</v>
      </c>
      <c r="C13" s="6" t="s">
        <v>295</v>
      </c>
      <c r="D13" s="37" t="s">
        <v>661</v>
      </c>
      <c r="E13" s="6" t="s">
        <v>97</v>
      </c>
      <c r="F13" s="9">
        <f>0.49*0.1*10</f>
        <v>0.49</v>
      </c>
      <c r="I13" s="32"/>
      <c r="J13" s="75"/>
    </row>
    <row r="14" spans="2:10" ht="30" customHeight="1">
      <c r="B14" s="52" t="s">
        <v>664</v>
      </c>
      <c r="C14" s="6" t="s">
        <v>665</v>
      </c>
      <c r="D14" s="76">
        <v>10</v>
      </c>
      <c r="E14" s="6" t="s">
        <v>397</v>
      </c>
      <c r="F14" s="9">
        <f>10</f>
        <v>10</v>
      </c>
      <c r="I14" s="32"/>
      <c r="J14" s="75"/>
    </row>
    <row r="15" spans="2:10" ht="30" customHeight="1">
      <c r="B15" s="5" t="s">
        <v>327</v>
      </c>
      <c r="C15" s="6" t="s">
        <v>297</v>
      </c>
      <c r="D15" s="3" t="s">
        <v>666</v>
      </c>
      <c r="E15" s="6" t="s">
        <v>97</v>
      </c>
      <c r="F15" s="38">
        <f>0.29*0.03*10</f>
        <v>0.087</v>
      </c>
      <c r="I15" s="32"/>
      <c r="J15" s="75"/>
    </row>
    <row r="16" spans="2:10" ht="30" customHeight="1">
      <c r="B16" s="5"/>
      <c r="C16" s="6"/>
      <c r="D16" s="10"/>
      <c r="E16" s="6"/>
      <c r="F16" s="77"/>
      <c r="I16" s="32"/>
      <c r="J16" s="75"/>
    </row>
    <row r="17" spans="2:10" ht="30" customHeight="1">
      <c r="B17" s="5"/>
      <c r="C17" s="6"/>
      <c r="D17" s="3" t="s">
        <v>668</v>
      </c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669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502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670</v>
      </c>
      <c r="E7" s="6" t="s">
        <v>97</v>
      </c>
      <c r="F7" s="36">
        <f>(0.42+0.4)*0.71*10</f>
        <v>5.822000000000001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671</v>
      </c>
      <c r="E8" s="6" t="s">
        <v>97</v>
      </c>
      <c r="F8" s="34">
        <f>5.8-3.4</f>
        <v>2.4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672</v>
      </c>
      <c r="E9" s="6" t="s">
        <v>97</v>
      </c>
      <c r="F9" s="36">
        <f>(0.54*0.2+0.34*0.03+(0.34+0.42)/2*0.04+0.42*0.196+(0.42+0.54)/2*0.104+0.54*0.14)*10</f>
        <v>3.4124000000000003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673</v>
      </c>
      <c r="E10" s="6" t="s">
        <v>393</v>
      </c>
      <c r="F10" s="36">
        <f>0.54*10</f>
        <v>5.4</v>
      </c>
      <c r="I10" s="32"/>
      <c r="J10" s="75"/>
    </row>
    <row r="11" spans="2:10" ht="30" customHeight="1">
      <c r="B11" s="5" t="s">
        <v>291</v>
      </c>
      <c r="C11" s="6" t="s">
        <v>292</v>
      </c>
      <c r="D11" s="3" t="s">
        <v>674</v>
      </c>
      <c r="E11" s="6" t="s">
        <v>97</v>
      </c>
      <c r="F11" s="9">
        <f>0.54*0.1*10</f>
        <v>0.54</v>
      </c>
      <c r="I11" s="32"/>
      <c r="J11" s="75"/>
    </row>
    <row r="12" spans="2:10" ht="30" customHeight="1">
      <c r="B12" s="5" t="s">
        <v>320</v>
      </c>
      <c r="C12" s="6" t="s">
        <v>663</v>
      </c>
      <c r="D12" s="37" t="s">
        <v>486</v>
      </c>
      <c r="E12" s="6" t="s">
        <v>393</v>
      </c>
      <c r="F12" s="9">
        <f>0.1*2*10</f>
        <v>2</v>
      </c>
      <c r="I12" s="32"/>
      <c r="J12" s="75"/>
    </row>
    <row r="13" spans="2:10" ht="30" customHeight="1">
      <c r="B13" s="5" t="s">
        <v>294</v>
      </c>
      <c r="C13" s="6" t="s">
        <v>295</v>
      </c>
      <c r="D13" s="37" t="s">
        <v>674</v>
      </c>
      <c r="E13" s="6" t="s">
        <v>97</v>
      </c>
      <c r="F13" s="9">
        <f>0.54*0.1*10</f>
        <v>0.54</v>
      </c>
      <c r="I13" s="32"/>
      <c r="J13" s="75"/>
    </row>
    <row r="14" spans="2:10" ht="30" customHeight="1">
      <c r="B14" s="52" t="s">
        <v>664</v>
      </c>
      <c r="C14" s="6" t="s">
        <v>675</v>
      </c>
      <c r="D14" s="76">
        <v>10</v>
      </c>
      <c r="E14" s="6" t="s">
        <v>397</v>
      </c>
      <c r="F14" s="9">
        <f>10</f>
        <v>10</v>
      </c>
      <c r="I14" s="32"/>
      <c r="J14" s="75"/>
    </row>
    <row r="15" spans="2:10" ht="30" customHeight="1">
      <c r="B15" s="5" t="s">
        <v>327</v>
      </c>
      <c r="C15" s="6" t="s">
        <v>297</v>
      </c>
      <c r="D15" s="3" t="s">
        <v>676</v>
      </c>
      <c r="E15" s="6" t="s">
        <v>97</v>
      </c>
      <c r="F15" s="38">
        <f>0.34*0.03*10</f>
        <v>0.10200000000000001</v>
      </c>
      <c r="I15" s="32"/>
      <c r="J15" s="75"/>
    </row>
    <row r="16" spans="2:10" ht="30" customHeight="1">
      <c r="B16" s="5"/>
      <c r="C16" s="6"/>
      <c r="D16" s="10"/>
      <c r="E16" s="6"/>
      <c r="F16" s="77"/>
      <c r="I16" s="32"/>
      <c r="J16" s="75"/>
    </row>
    <row r="17" spans="2:10" ht="30" customHeight="1">
      <c r="B17" s="5"/>
      <c r="C17" s="6"/>
      <c r="D17" s="3" t="s">
        <v>667</v>
      </c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83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677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678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679</v>
      </c>
      <c r="E7" s="6" t="s">
        <v>97</v>
      </c>
      <c r="F7" s="36">
        <f>(0.52+0.4)*0.82*10</f>
        <v>7.544</v>
      </c>
      <c r="I7" s="32"/>
      <c r="J7" s="75"/>
    </row>
    <row r="8" spans="2:10" ht="30" customHeight="1">
      <c r="B8" s="5" t="s">
        <v>287</v>
      </c>
      <c r="C8" s="6" t="s">
        <v>288</v>
      </c>
      <c r="D8" s="3" t="s">
        <v>680</v>
      </c>
      <c r="E8" s="6" t="s">
        <v>97</v>
      </c>
      <c r="F8" s="34">
        <f>7.5-4.7</f>
        <v>2.8</v>
      </c>
      <c r="I8" s="32"/>
      <c r="J8" s="75"/>
    </row>
    <row r="9" spans="2:10" ht="30" customHeight="1">
      <c r="B9" s="5" t="s">
        <v>289</v>
      </c>
      <c r="C9" s="6">
        <v>0</v>
      </c>
      <c r="D9" s="3" t="s">
        <v>681</v>
      </c>
      <c r="E9" s="6" t="s">
        <v>97</v>
      </c>
      <c r="F9" s="36">
        <f>(0.64*0.2+0.44*0.03+(0.44+0.52)/2*0.04+0.52*0.295+(0.52+0.64)/2*0.105+0.64*0.15)*10</f>
        <v>4.707</v>
      </c>
      <c r="I9" s="32"/>
      <c r="J9" s="75"/>
    </row>
    <row r="10" spans="2:10" ht="30" customHeight="1">
      <c r="B10" s="5" t="s">
        <v>290</v>
      </c>
      <c r="C10" s="6">
        <v>0</v>
      </c>
      <c r="D10" s="3" t="s">
        <v>682</v>
      </c>
      <c r="E10" s="6" t="s">
        <v>393</v>
      </c>
      <c r="F10" s="36">
        <f>0.64*10</f>
        <v>6.4</v>
      </c>
      <c r="I10" s="32"/>
      <c r="J10" s="75"/>
    </row>
    <row r="11" spans="2:10" ht="30" customHeight="1">
      <c r="B11" s="5" t="s">
        <v>291</v>
      </c>
      <c r="C11" s="6" t="s">
        <v>292</v>
      </c>
      <c r="D11" s="3" t="s">
        <v>683</v>
      </c>
      <c r="E11" s="6" t="s">
        <v>97</v>
      </c>
      <c r="F11" s="9">
        <f>0.64*0.1*10</f>
        <v>0.64</v>
      </c>
      <c r="I11" s="32"/>
      <c r="J11" s="75"/>
    </row>
    <row r="12" spans="2:10" ht="30" customHeight="1">
      <c r="B12" s="5" t="s">
        <v>320</v>
      </c>
      <c r="C12" s="6" t="s">
        <v>663</v>
      </c>
      <c r="D12" s="37" t="s">
        <v>595</v>
      </c>
      <c r="E12" s="6" t="s">
        <v>393</v>
      </c>
      <c r="F12" s="9">
        <f>0.1*2*10</f>
        <v>2</v>
      </c>
      <c r="I12" s="32"/>
      <c r="J12" s="75"/>
    </row>
    <row r="13" spans="2:10" ht="30" customHeight="1">
      <c r="B13" s="5" t="s">
        <v>294</v>
      </c>
      <c r="C13" s="6" t="s">
        <v>295</v>
      </c>
      <c r="D13" s="37" t="s">
        <v>684</v>
      </c>
      <c r="E13" s="6" t="s">
        <v>97</v>
      </c>
      <c r="F13" s="9">
        <f>0.64*0.1*10</f>
        <v>0.64</v>
      </c>
      <c r="I13" s="32"/>
      <c r="J13" s="75"/>
    </row>
    <row r="14" spans="2:10" ht="30" customHeight="1">
      <c r="B14" s="52" t="s">
        <v>664</v>
      </c>
      <c r="C14" s="6" t="s">
        <v>685</v>
      </c>
      <c r="D14" s="76">
        <v>10</v>
      </c>
      <c r="E14" s="6" t="s">
        <v>397</v>
      </c>
      <c r="F14" s="9">
        <f>10</f>
        <v>10</v>
      </c>
      <c r="I14" s="32"/>
      <c r="J14" s="75"/>
    </row>
    <row r="15" spans="2:10" ht="30" customHeight="1">
      <c r="B15" s="5" t="s">
        <v>327</v>
      </c>
      <c r="C15" s="6" t="s">
        <v>297</v>
      </c>
      <c r="D15" s="3" t="s">
        <v>686</v>
      </c>
      <c r="E15" s="6" t="s">
        <v>97</v>
      </c>
      <c r="F15" s="38">
        <f>0.44*0.03*10</f>
        <v>0.132</v>
      </c>
      <c r="I15" s="32"/>
      <c r="J15" s="75"/>
    </row>
    <row r="16" spans="2:10" ht="30" customHeight="1">
      <c r="B16" s="5"/>
      <c r="C16" s="6"/>
      <c r="D16" s="10"/>
      <c r="E16" s="6"/>
      <c r="F16" s="77"/>
      <c r="I16" s="32"/>
      <c r="J16" s="75"/>
    </row>
    <row r="17" spans="2:10" ht="30" customHeight="1">
      <c r="B17" s="5"/>
      <c r="C17" s="6"/>
      <c r="D17" s="3" t="s">
        <v>667</v>
      </c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84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687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688</v>
      </c>
      <c r="C7" s="6" t="s">
        <v>689</v>
      </c>
      <c r="D7" s="3" t="s">
        <v>690</v>
      </c>
      <c r="E7" s="6" t="s">
        <v>602</v>
      </c>
      <c r="F7" s="40">
        <f>10/0.5</f>
        <v>20</v>
      </c>
      <c r="I7" s="32"/>
      <c r="J7" s="75"/>
    </row>
    <row r="8" spans="2:10" ht="30" customHeight="1">
      <c r="B8" s="5" t="s">
        <v>691</v>
      </c>
      <c r="C8" s="6" t="s">
        <v>692</v>
      </c>
      <c r="D8" s="3" t="s">
        <v>690</v>
      </c>
      <c r="E8" s="6" t="s">
        <v>602</v>
      </c>
      <c r="F8" s="40">
        <f>10/0.5</f>
        <v>20</v>
      </c>
      <c r="I8" s="32"/>
      <c r="J8" s="75"/>
    </row>
    <row r="9" spans="2:10" ht="30" customHeight="1">
      <c r="B9" s="5" t="s">
        <v>693</v>
      </c>
      <c r="C9" s="6" t="s">
        <v>694</v>
      </c>
      <c r="D9" s="3" t="s">
        <v>690</v>
      </c>
      <c r="E9" s="6" t="s">
        <v>602</v>
      </c>
      <c r="F9" s="40">
        <f>10/0.5</f>
        <v>20</v>
      </c>
      <c r="I9" s="32"/>
      <c r="J9" s="75"/>
    </row>
    <row r="10" spans="2:10" ht="30" customHeight="1">
      <c r="B10" s="5"/>
      <c r="C10" s="6"/>
      <c r="D10" s="37"/>
      <c r="E10" s="6"/>
      <c r="F10" s="9"/>
      <c r="I10" s="32"/>
      <c r="J10" s="75"/>
    </row>
    <row r="11" spans="2:10" ht="30" customHeight="1">
      <c r="B11" s="5"/>
      <c r="C11" s="6"/>
      <c r="D11" s="37"/>
      <c r="E11" s="6"/>
      <c r="F11" s="9"/>
      <c r="I11" s="32"/>
      <c r="J11" s="75"/>
    </row>
    <row r="12" spans="2:10" ht="30" customHeight="1">
      <c r="B12" s="5"/>
      <c r="C12" s="6"/>
      <c r="D12" s="37"/>
      <c r="E12" s="6"/>
      <c r="F12" s="9"/>
      <c r="I12" s="32"/>
      <c r="J12" s="75"/>
    </row>
    <row r="13" spans="2:10" ht="30" customHeight="1">
      <c r="B13" s="5"/>
      <c r="C13" s="6"/>
      <c r="D13" s="37"/>
      <c r="E13" s="6"/>
      <c r="F13" s="9"/>
      <c r="I13" s="32"/>
      <c r="J13" s="75"/>
    </row>
    <row r="14" spans="2:10" ht="30" customHeight="1">
      <c r="B14" s="5"/>
      <c r="C14" s="6"/>
      <c r="D14" s="3"/>
      <c r="E14" s="6"/>
      <c r="F14" s="38"/>
      <c r="I14" s="32"/>
      <c r="J14" s="75"/>
    </row>
    <row r="15" spans="2:10" ht="30" customHeight="1">
      <c r="B15" s="52"/>
      <c r="C15" s="6"/>
      <c r="D15" s="76"/>
      <c r="E15" s="6"/>
      <c r="F15" s="36"/>
      <c r="I15" s="32"/>
      <c r="J15" s="75"/>
    </row>
    <row r="16" spans="2:10" ht="30" customHeight="1">
      <c r="B16" s="5"/>
      <c r="C16" s="6"/>
      <c r="D16" s="10"/>
      <c r="E16" s="6"/>
      <c r="F16" s="77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85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695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447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82" t="s">
        <v>696</v>
      </c>
      <c r="C7" s="6">
        <v>0</v>
      </c>
      <c r="D7" s="3"/>
      <c r="E7" s="6"/>
      <c r="F7" s="40"/>
      <c r="I7" s="32"/>
      <c r="J7" s="75"/>
    </row>
    <row r="8" spans="2:10" ht="30" customHeight="1">
      <c r="B8" s="5" t="s">
        <v>697</v>
      </c>
      <c r="C8" s="6" t="s">
        <v>698</v>
      </c>
      <c r="D8" s="3" t="s">
        <v>614</v>
      </c>
      <c r="E8" s="6" t="s">
        <v>602</v>
      </c>
      <c r="F8" s="40">
        <f>10/1</f>
        <v>10</v>
      </c>
      <c r="I8" s="32"/>
      <c r="J8" s="75"/>
    </row>
    <row r="9" spans="2:10" ht="30" customHeight="1">
      <c r="B9" s="82" t="s">
        <v>699</v>
      </c>
      <c r="C9" s="6">
        <v>0</v>
      </c>
      <c r="D9" s="3"/>
      <c r="E9" s="6"/>
      <c r="F9" s="40"/>
      <c r="I9" s="32"/>
      <c r="J9" s="75"/>
    </row>
    <row r="10" spans="2:10" ht="30" customHeight="1">
      <c r="B10" s="5" t="s">
        <v>697</v>
      </c>
      <c r="C10" s="6" t="s">
        <v>700</v>
      </c>
      <c r="D10" s="3" t="s">
        <v>614</v>
      </c>
      <c r="E10" s="6" t="s">
        <v>602</v>
      </c>
      <c r="F10" s="40">
        <f>10/1</f>
        <v>10</v>
      </c>
      <c r="I10" s="32"/>
      <c r="J10" s="75"/>
    </row>
    <row r="11" spans="2:10" ht="30" customHeight="1">
      <c r="B11" s="82" t="s">
        <v>701</v>
      </c>
      <c r="C11" s="6">
        <v>0</v>
      </c>
      <c r="D11" s="3"/>
      <c r="E11" s="6"/>
      <c r="F11" s="40"/>
      <c r="I11" s="32"/>
      <c r="J11" s="75"/>
    </row>
    <row r="12" spans="2:10" ht="30" customHeight="1">
      <c r="B12" s="5" t="s">
        <v>697</v>
      </c>
      <c r="C12" s="6" t="s">
        <v>702</v>
      </c>
      <c r="D12" s="3" t="s">
        <v>614</v>
      </c>
      <c r="E12" s="6" t="s">
        <v>602</v>
      </c>
      <c r="F12" s="40">
        <f>10/1</f>
        <v>10</v>
      </c>
      <c r="I12" s="32"/>
      <c r="J12" s="75"/>
    </row>
    <row r="13" spans="2:10" ht="30" customHeight="1">
      <c r="B13" s="82" t="s">
        <v>703</v>
      </c>
      <c r="C13" s="6">
        <v>0</v>
      </c>
      <c r="D13" s="3"/>
      <c r="E13" s="6"/>
      <c r="F13" s="40"/>
      <c r="I13" s="32"/>
      <c r="J13" s="75"/>
    </row>
    <row r="14" spans="2:10" ht="30" customHeight="1">
      <c r="B14" s="5" t="s">
        <v>697</v>
      </c>
      <c r="C14" s="6" t="s">
        <v>704</v>
      </c>
      <c r="D14" s="3" t="s">
        <v>614</v>
      </c>
      <c r="E14" s="6" t="s">
        <v>602</v>
      </c>
      <c r="F14" s="40">
        <f>10/1</f>
        <v>10</v>
      </c>
      <c r="I14" s="32"/>
      <c r="J14" s="75"/>
    </row>
    <row r="15" spans="2:10" ht="30" customHeight="1">
      <c r="B15" s="82" t="s">
        <v>705</v>
      </c>
      <c r="C15" s="6">
        <v>0</v>
      </c>
      <c r="D15" s="3"/>
      <c r="E15" s="6"/>
      <c r="F15" s="40"/>
      <c r="I15" s="32"/>
      <c r="J15" s="75"/>
    </row>
    <row r="16" spans="2:10" ht="30" customHeight="1">
      <c r="B16" s="5" t="s">
        <v>697</v>
      </c>
      <c r="C16" s="6" t="s">
        <v>706</v>
      </c>
      <c r="D16" s="3" t="s">
        <v>614</v>
      </c>
      <c r="E16" s="6" t="s">
        <v>602</v>
      </c>
      <c r="F16" s="40">
        <f>10/1</f>
        <v>10</v>
      </c>
      <c r="I16" s="32"/>
      <c r="J16" s="75"/>
    </row>
    <row r="17" spans="2:10" ht="30" customHeight="1">
      <c r="B17" s="82" t="s">
        <v>707</v>
      </c>
      <c r="C17" s="6">
        <v>0</v>
      </c>
      <c r="D17" s="3"/>
      <c r="E17" s="6"/>
      <c r="F17" s="40"/>
      <c r="I17" s="32"/>
      <c r="J17" s="75"/>
    </row>
    <row r="18" spans="2:10" ht="30" customHeight="1">
      <c r="B18" s="5" t="s">
        <v>697</v>
      </c>
      <c r="C18" s="6" t="s">
        <v>708</v>
      </c>
      <c r="D18" s="3" t="s">
        <v>614</v>
      </c>
      <c r="E18" s="6" t="s">
        <v>602</v>
      </c>
      <c r="F18" s="40">
        <f>10/1</f>
        <v>10</v>
      </c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710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711</v>
      </c>
      <c r="E7" s="6" t="s">
        <v>97</v>
      </c>
      <c r="F7" s="36">
        <f>(0.55+0.4)*0.5*10</f>
        <v>4.75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529</v>
      </c>
      <c r="E8" s="6" t="s">
        <v>97</v>
      </c>
      <c r="F8" s="34">
        <f>4.8-2.9</f>
        <v>1.9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712</v>
      </c>
      <c r="E9" s="6" t="s">
        <v>97</v>
      </c>
      <c r="F9" s="36">
        <f>(0.65*0.1+0.55*0.4)*10</f>
        <v>2.8500000000000005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713</v>
      </c>
      <c r="E10" s="6" t="s">
        <v>393</v>
      </c>
      <c r="F10" s="36">
        <f>0.65*10</f>
        <v>6.5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714</v>
      </c>
      <c r="E11" s="6" t="s">
        <v>393</v>
      </c>
      <c r="F11" s="9">
        <f>0.65*10</f>
        <v>6.5</v>
      </c>
      <c r="I11" s="32"/>
      <c r="J11" s="80"/>
    </row>
    <row r="12" spans="2:10" ht="30" customHeight="1">
      <c r="B12" s="5" t="s">
        <v>320</v>
      </c>
      <c r="C12" s="6">
        <v>0</v>
      </c>
      <c r="D12" s="37" t="s">
        <v>715</v>
      </c>
      <c r="E12" s="6" t="s">
        <v>393</v>
      </c>
      <c r="F12" s="9">
        <f>(0.4+0.262)*2*10</f>
        <v>13.24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716</v>
      </c>
      <c r="E13" s="6" t="s">
        <v>97</v>
      </c>
      <c r="F13" s="9">
        <f>(0.55*0.4-(0.25*0.262+0.37*0.038))*10</f>
        <v>1.4044</v>
      </c>
      <c r="I13" s="32"/>
      <c r="J13" s="80"/>
    </row>
    <row r="14" spans="2:10" ht="30" customHeight="1">
      <c r="B14" s="5" t="s">
        <v>717</v>
      </c>
      <c r="C14" s="6" t="s">
        <v>718</v>
      </c>
      <c r="D14" s="76"/>
      <c r="E14" s="6" t="s">
        <v>398</v>
      </c>
      <c r="F14" s="77"/>
      <c r="I14" s="32"/>
      <c r="J14" s="80"/>
    </row>
    <row r="15" spans="2:10" ht="30" customHeight="1">
      <c r="B15" s="84" t="s">
        <v>719</v>
      </c>
      <c r="C15" s="6"/>
      <c r="D15" s="10"/>
      <c r="E15" s="6"/>
      <c r="F15" s="77"/>
      <c r="I15" s="32"/>
      <c r="J15" s="80"/>
    </row>
    <row r="16" spans="2:10" ht="30" customHeight="1">
      <c r="B16" s="5" t="s">
        <v>720</v>
      </c>
      <c r="C16" s="6" t="s">
        <v>721</v>
      </c>
      <c r="D16" s="78">
        <v>10</v>
      </c>
      <c r="E16" s="6" t="s">
        <v>602</v>
      </c>
      <c r="F16" s="79">
        <f>10</f>
        <v>10</v>
      </c>
      <c r="I16" s="32"/>
      <c r="J16" s="80"/>
    </row>
    <row r="17" spans="2:10" ht="30" customHeight="1">
      <c r="B17" s="5"/>
      <c r="C17" s="6"/>
      <c r="D17" s="10"/>
      <c r="E17" s="6"/>
      <c r="F17" s="54"/>
      <c r="I17" s="32"/>
      <c r="J17" s="80"/>
    </row>
    <row r="18" spans="2:10" ht="30" customHeight="1">
      <c r="B18" s="84" t="s">
        <v>722</v>
      </c>
      <c r="C18" s="6"/>
      <c r="D18" s="10"/>
      <c r="E18" s="6"/>
      <c r="F18" s="54"/>
      <c r="I18" s="32"/>
      <c r="J18" s="80"/>
    </row>
    <row r="19" spans="2:10" ht="30" customHeight="1">
      <c r="B19" s="5" t="s">
        <v>720</v>
      </c>
      <c r="C19" s="6" t="s">
        <v>723</v>
      </c>
      <c r="D19" s="4">
        <v>10</v>
      </c>
      <c r="E19" s="6" t="s">
        <v>602</v>
      </c>
      <c r="F19" s="79">
        <f>10</f>
        <v>10</v>
      </c>
      <c r="I19" s="32"/>
      <c r="J19" s="80"/>
    </row>
    <row r="20" spans="2:10" ht="30" customHeight="1">
      <c r="B20" s="5"/>
      <c r="C20" s="6"/>
      <c r="D20" s="10"/>
      <c r="E20" s="6"/>
      <c r="F20" s="77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87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724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709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725</v>
      </c>
      <c r="E7" s="6" t="s">
        <v>97</v>
      </c>
      <c r="F7" s="36">
        <f>(0.6+0.4)*0.55*10</f>
        <v>5.5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726</v>
      </c>
      <c r="E8" s="6" t="s">
        <v>97</v>
      </c>
      <c r="F8" s="34">
        <f>5.5-3.4</f>
        <v>2.1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727</v>
      </c>
      <c r="E9" s="6" t="s">
        <v>97</v>
      </c>
      <c r="F9" s="36">
        <f>(0.7*0.1+0.6*0.45)*10</f>
        <v>3.4000000000000004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728</v>
      </c>
      <c r="E10" s="6" t="s">
        <v>393</v>
      </c>
      <c r="F10" s="36">
        <f>0.7*10</f>
        <v>7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728</v>
      </c>
      <c r="E11" s="6" t="s">
        <v>393</v>
      </c>
      <c r="F11" s="9">
        <f>0.7*10</f>
        <v>7</v>
      </c>
      <c r="I11" s="32"/>
      <c r="J11" s="80"/>
    </row>
    <row r="12" spans="2:10" ht="30" customHeight="1">
      <c r="B12" s="5"/>
      <c r="C12" s="6"/>
      <c r="D12" s="10"/>
      <c r="E12" s="6"/>
      <c r="F12" s="54"/>
      <c r="I12" s="32"/>
      <c r="J12" s="80"/>
    </row>
    <row r="13" spans="2:10" ht="30" customHeight="1">
      <c r="B13" s="84" t="s">
        <v>729</v>
      </c>
      <c r="C13" s="6"/>
      <c r="D13" s="10"/>
      <c r="E13" s="6"/>
      <c r="F13" s="77"/>
      <c r="I13" s="32"/>
      <c r="J13" s="80"/>
    </row>
    <row r="14" spans="2:10" ht="30" customHeight="1">
      <c r="B14" s="5" t="s">
        <v>320</v>
      </c>
      <c r="C14" s="6">
        <v>0</v>
      </c>
      <c r="D14" s="37" t="s">
        <v>730</v>
      </c>
      <c r="E14" s="6" t="s">
        <v>393</v>
      </c>
      <c r="F14" s="9">
        <f>(0.45+0.312)*2*10</f>
        <v>15.24</v>
      </c>
      <c r="I14" s="32"/>
      <c r="J14" s="80"/>
    </row>
    <row r="15" spans="2:10" ht="30" customHeight="1">
      <c r="B15" s="5" t="s">
        <v>294</v>
      </c>
      <c r="C15" s="6" t="s">
        <v>295</v>
      </c>
      <c r="D15" s="37" t="s">
        <v>731</v>
      </c>
      <c r="E15" s="6" t="s">
        <v>97</v>
      </c>
      <c r="F15" s="9">
        <f>(0.6*0.45-(0.3*0.312+0.42*0.038))*10</f>
        <v>1.6044000000000003</v>
      </c>
      <c r="I15" s="32"/>
      <c r="J15" s="80"/>
    </row>
    <row r="16" spans="2:10" ht="30" customHeight="1">
      <c r="B16" s="5" t="s">
        <v>720</v>
      </c>
      <c r="C16" s="6" t="s">
        <v>732</v>
      </c>
      <c r="D16" s="76"/>
      <c r="E16" s="6" t="s">
        <v>602</v>
      </c>
      <c r="F16" s="36">
        <v>10</v>
      </c>
      <c r="I16" s="32"/>
      <c r="J16" s="80"/>
    </row>
    <row r="17" spans="2:10" ht="30" customHeight="1">
      <c r="B17" s="5"/>
      <c r="C17" s="6"/>
      <c r="D17" s="10"/>
      <c r="E17" s="6"/>
      <c r="F17" s="11"/>
      <c r="I17" s="32"/>
      <c r="J17" s="80"/>
    </row>
    <row r="18" spans="2:10" ht="30" customHeight="1">
      <c r="B18" s="84" t="s">
        <v>733</v>
      </c>
      <c r="C18" s="6"/>
      <c r="D18" s="10"/>
      <c r="E18" s="6"/>
      <c r="F18" s="77"/>
      <c r="I18" s="32"/>
      <c r="J18" s="80"/>
    </row>
    <row r="19" spans="2:10" ht="30" customHeight="1">
      <c r="B19" s="5" t="s">
        <v>320</v>
      </c>
      <c r="C19" s="6">
        <v>0</v>
      </c>
      <c r="D19" s="78" t="s">
        <v>734</v>
      </c>
      <c r="E19" s="6" t="s">
        <v>393</v>
      </c>
      <c r="F19" s="79">
        <f>(0.45+0.306)*2*10</f>
        <v>15.120000000000001</v>
      </c>
      <c r="I19" s="32"/>
      <c r="J19" s="80"/>
    </row>
    <row r="20" spans="2:10" ht="30" customHeight="1">
      <c r="B20" s="5" t="s">
        <v>294</v>
      </c>
      <c r="C20" s="6" t="s">
        <v>295</v>
      </c>
      <c r="D20" s="4" t="s">
        <v>735</v>
      </c>
      <c r="E20" s="6" t="s">
        <v>97</v>
      </c>
      <c r="F20" s="79">
        <f>(0.6*0.45-(0.3*0.306+0.42*0.044))*10</f>
        <v>1.5972000000000004</v>
      </c>
      <c r="I20" s="32"/>
      <c r="J20" s="80"/>
    </row>
    <row r="21" spans="2:10" ht="30" customHeight="1">
      <c r="B21" s="5" t="s">
        <v>720</v>
      </c>
      <c r="C21" s="6" t="s">
        <v>736</v>
      </c>
      <c r="D21" s="10">
        <v>10</v>
      </c>
      <c r="E21" s="6" t="s">
        <v>602</v>
      </c>
      <c r="F21" s="77">
        <f>10</f>
        <v>10</v>
      </c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5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737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738</v>
      </c>
      <c r="E7" s="6" t="s">
        <v>97</v>
      </c>
      <c r="F7" s="36">
        <f>(0.65+0.4)*0.6*10</f>
        <v>6.3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739</v>
      </c>
      <c r="E8" s="6" t="s">
        <v>97</v>
      </c>
      <c r="F8" s="34">
        <f>6.3-4</f>
        <v>2.3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740</v>
      </c>
      <c r="E9" s="6" t="s">
        <v>97</v>
      </c>
      <c r="F9" s="36">
        <f>(0.75*0.1+0.65*0.5)*10</f>
        <v>4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741</v>
      </c>
      <c r="E10" s="6" t="s">
        <v>393</v>
      </c>
      <c r="F10" s="36">
        <f>0.75*10</f>
        <v>7.5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741</v>
      </c>
      <c r="E11" s="6" t="s">
        <v>393</v>
      </c>
      <c r="F11" s="9">
        <f>0.75*10</f>
        <v>7.5</v>
      </c>
      <c r="I11" s="32"/>
      <c r="J11" s="80"/>
    </row>
    <row r="12" spans="2:10" ht="30" customHeight="1">
      <c r="B12" s="5" t="s">
        <v>320</v>
      </c>
      <c r="C12" s="6">
        <v>0</v>
      </c>
      <c r="D12" s="37" t="s">
        <v>742</v>
      </c>
      <c r="E12" s="6" t="s">
        <v>393</v>
      </c>
      <c r="F12" s="9">
        <f>(0.5+0.356)*2*10</f>
        <v>17.12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743</v>
      </c>
      <c r="E13" s="6" t="s">
        <v>97</v>
      </c>
      <c r="F13" s="9">
        <f>(0.65*0.5-(0.35*0.356+0.47*0.044))*10</f>
        <v>1.7972000000000001</v>
      </c>
      <c r="I13" s="32"/>
      <c r="J13" s="80"/>
    </row>
    <row r="14" spans="2:10" ht="30" customHeight="1">
      <c r="B14" s="5"/>
      <c r="C14" s="6"/>
      <c r="D14" s="76"/>
      <c r="E14" s="6"/>
      <c r="F14" s="77"/>
      <c r="I14" s="32"/>
      <c r="J14" s="80"/>
    </row>
    <row r="15" spans="2:10" ht="30" customHeight="1">
      <c r="B15" s="84" t="s">
        <v>744</v>
      </c>
      <c r="C15" s="6"/>
      <c r="D15" s="10"/>
      <c r="E15" s="6"/>
      <c r="F15" s="77"/>
      <c r="I15" s="32"/>
      <c r="J15" s="80"/>
    </row>
    <row r="16" spans="2:10" ht="30" customHeight="1">
      <c r="B16" s="5" t="s">
        <v>720</v>
      </c>
      <c r="C16" s="6" t="s">
        <v>745</v>
      </c>
      <c r="D16" s="78">
        <v>10</v>
      </c>
      <c r="E16" s="6" t="s">
        <v>602</v>
      </c>
      <c r="F16" s="79">
        <f>10</f>
        <v>10</v>
      </c>
      <c r="I16" s="32"/>
      <c r="J16" s="80"/>
    </row>
    <row r="17" spans="2:10" ht="30" customHeight="1">
      <c r="B17" s="5"/>
      <c r="C17" s="6"/>
      <c r="D17" s="10"/>
      <c r="E17" s="6"/>
      <c r="F17" s="54"/>
      <c r="I17" s="32"/>
      <c r="J17" s="80"/>
    </row>
    <row r="18" spans="2:10" ht="30" customHeight="1">
      <c r="B18" s="84" t="s">
        <v>746</v>
      </c>
      <c r="C18" s="6"/>
      <c r="D18" s="10"/>
      <c r="E18" s="6"/>
      <c r="F18" s="54"/>
      <c r="I18" s="32"/>
      <c r="J18" s="80"/>
    </row>
    <row r="19" spans="2:10" ht="30" customHeight="1">
      <c r="B19" s="5" t="s">
        <v>720</v>
      </c>
      <c r="C19" s="6" t="s">
        <v>747</v>
      </c>
      <c r="D19" s="4">
        <v>10</v>
      </c>
      <c r="E19" s="6" t="s">
        <v>602</v>
      </c>
      <c r="F19" s="79">
        <f>10</f>
        <v>10</v>
      </c>
      <c r="I19" s="32"/>
      <c r="J19" s="80"/>
    </row>
    <row r="20" spans="2:10" ht="30" customHeight="1">
      <c r="B20" s="5"/>
      <c r="C20" s="6"/>
      <c r="D20" s="10"/>
      <c r="E20" s="6"/>
      <c r="F20" s="77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89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748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121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749</v>
      </c>
      <c r="E7" s="6" t="s">
        <v>97</v>
      </c>
      <c r="F7" s="36">
        <f>(1.5*1.6*0.3+1*1.6*0.55)*10</f>
        <v>16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750</v>
      </c>
      <c r="E8" s="6" t="s">
        <v>97</v>
      </c>
      <c r="F8" s="34">
        <f>16-2.7</f>
        <v>13.3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751</v>
      </c>
      <c r="E9" s="6" t="s">
        <v>97</v>
      </c>
      <c r="F9" s="36">
        <f>(0.6*0.7*0.1+0.5*0.6*0.75)*10</f>
        <v>2.6699999999999995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752</v>
      </c>
      <c r="E10" s="6" t="s">
        <v>393</v>
      </c>
      <c r="F10" s="36">
        <f>0.6*0.7*10</f>
        <v>4.2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752</v>
      </c>
      <c r="E11" s="6" t="s">
        <v>393</v>
      </c>
      <c r="F11" s="9">
        <f>0.6*0.7*10</f>
        <v>4.2</v>
      </c>
      <c r="I11" s="32"/>
      <c r="J11" s="80"/>
    </row>
    <row r="12" spans="2:10" ht="30" customHeight="1">
      <c r="B12" s="5" t="s">
        <v>320</v>
      </c>
      <c r="C12" s="6">
        <v>0</v>
      </c>
      <c r="D12" s="37" t="s">
        <v>753</v>
      </c>
      <c r="E12" s="6" t="s">
        <v>393</v>
      </c>
      <c r="F12" s="9">
        <f>((0.5+0.6)*2*0.75+0.3*0.612*4-(0.3*0.35+0.3*0.312)+0.312*0.1*2)*10</f>
        <v>22.482000000000003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754</v>
      </c>
      <c r="E13" s="6" t="s">
        <v>97</v>
      </c>
      <c r="F13" s="9">
        <f>(0.5*0.6*0.75-(0.3*0.3*0.612+0.3*0.312*0.1+0.42*0.46*0.038))*10</f>
        <v>1.5321839999999998</v>
      </c>
      <c r="I13" s="32"/>
      <c r="J13" s="80"/>
    </row>
    <row r="14" spans="2:10" ht="30" customHeight="1">
      <c r="B14" s="5"/>
      <c r="C14" s="6"/>
      <c r="D14" s="76"/>
      <c r="E14" s="6"/>
      <c r="F14" s="77"/>
      <c r="I14" s="32"/>
      <c r="J14" s="80"/>
    </row>
    <row r="15" spans="2:10" ht="30" customHeight="1">
      <c r="B15" s="84" t="s">
        <v>755</v>
      </c>
      <c r="C15" s="6"/>
      <c r="D15" s="10"/>
      <c r="E15" s="6"/>
      <c r="F15" s="77"/>
      <c r="I15" s="32"/>
      <c r="J15" s="80"/>
    </row>
    <row r="16" spans="2:10" ht="30" customHeight="1">
      <c r="B16" s="5" t="s">
        <v>756</v>
      </c>
      <c r="C16" s="6" t="s">
        <v>757</v>
      </c>
      <c r="D16" s="78">
        <v>10</v>
      </c>
      <c r="E16" s="6" t="s">
        <v>394</v>
      </c>
      <c r="F16" s="79">
        <f>10</f>
        <v>10</v>
      </c>
      <c r="I16" s="32"/>
      <c r="J16" s="80"/>
    </row>
    <row r="17" spans="2:10" ht="30" customHeight="1">
      <c r="B17" s="5"/>
      <c r="C17" s="6"/>
      <c r="D17" s="10"/>
      <c r="E17" s="6"/>
      <c r="F17" s="54"/>
      <c r="I17" s="32"/>
      <c r="J17" s="80"/>
    </row>
    <row r="18" spans="2:10" ht="30" customHeight="1">
      <c r="B18" s="84" t="s">
        <v>758</v>
      </c>
      <c r="C18" s="6"/>
      <c r="D18" s="10"/>
      <c r="E18" s="6"/>
      <c r="F18" s="54"/>
      <c r="I18" s="32"/>
      <c r="J18" s="80"/>
    </row>
    <row r="19" spans="2:10" ht="30" customHeight="1">
      <c r="B19" s="5" t="s">
        <v>756</v>
      </c>
      <c r="C19" s="6" t="s">
        <v>759</v>
      </c>
      <c r="D19" s="4">
        <v>10</v>
      </c>
      <c r="E19" s="6" t="s">
        <v>394</v>
      </c>
      <c r="F19" s="79">
        <f>10</f>
        <v>10</v>
      </c>
      <c r="I19" s="32"/>
      <c r="J19" s="80"/>
    </row>
    <row r="20" spans="2:10" ht="30" customHeight="1">
      <c r="B20" s="5"/>
      <c r="C20" s="6"/>
      <c r="D20" s="10"/>
      <c r="E20" s="6"/>
      <c r="F20" s="77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1128</v>
      </c>
      <c r="C3" s="20"/>
      <c r="D3" s="21"/>
      <c r="E3" s="22"/>
      <c r="F3" s="23"/>
    </row>
    <row r="4" spans="2:6" ht="30" customHeight="1">
      <c r="B4" s="90" t="s">
        <v>211</v>
      </c>
      <c r="C4" s="91"/>
      <c r="D4" s="91"/>
      <c r="E4" s="7">
        <v>10</v>
      </c>
      <c r="F4" s="8" t="s">
        <v>163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7" t="s">
        <v>111</v>
      </c>
      <c r="E7" s="6" t="s">
        <v>97</v>
      </c>
      <c r="F7" s="36">
        <f>(0.18+0.4)*(0.18+0.4)*0.58*10</f>
        <v>1.9511200000000004</v>
      </c>
      <c r="I7" s="32"/>
      <c r="J7" s="33"/>
    </row>
    <row r="8" spans="2:10" ht="30" customHeight="1">
      <c r="B8" s="5" t="s">
        <v>287</v>
      </c>
      <c r="C8" s="6" t="s">
        <v>288</v>
      </c>
      <c r="D8" s="3" t="s">
        <v>112</v>
      </c>
      <c r="E8" s="6" t="s">
        <v>97</v>
      </c>
      <c r="F8" s="36">
        <f>2-0.2</f>
        <v>1.8</v>
      </c>
      <c r="I8" s="32"/>
      <c r="J8" s="33"/>
    </row>
    <row r="9" spans="2:10" ht="30" customHeight="1">
      <c r="B9" s="5" t="s">
        <v>289</v>
      </c>
      <c r="C9" s="6">
        <v>0</v>
      </c>
      <c r="D9" s="3" t="s">
        <v>169</v>
      </c>
      <c r="E9" s="6" t="s">
        <v>97</v>
      </c>
      <c r="F9" s="36">
        <f>(0.28*0.28*0.1+0.18*0.18*0.48)*10</f>
        <v>0.23392</v>
      </c>
      <c r="I9" s="32"/>
      <c r="J9" s="33"/>
    </row>
    <row r="10" spans="2:10" ht="30" customHeight="1">
      <c r="B10" s="5" t="s">
        <v>290</v>
      </c>
      <c r="C10" s="6">
        <v>0</v>
      </c>
      <c r="D10" s="3" t="s">
        <v>164</v>
      </c>
      <c r="E10" s="6" t="s">
        <v>393</v>
      </c>
      <c r="F10" s="36">
        <f>0.28*0.28*10</f>
        <v>0.7840000000000001</v>
      </c>
      <c r="I10" s="32"/>
      <c r="J10" s="33"/>
    </row>
    <row r="11" spans="2:10" ht="30" customHeight="1">
      <c r="B11" s="5" t="s">
        <v>291</v>
      </c>
      <c r="C11" s="6" t="s">
        <v>292</v>
      </c>
      <c r="D11" s="3" t="s">
        <v>164</v>
      </c>
      <c r="E11" s="6" t="s">
        <v>393</v>
      </c>
      <c r="F11" s="9">
        <f>0.28*0.28*10</f>
        <v>0.7840000000000001</v>
      </c>
      <c r="I11" s="32"/>
      <c r="J11" s="33"/>
    </row>
    <row r="12" spans="2:10" ht="30" customHeight="1">
      <c r="B12" s="5" t="s">
        <v>301</v>
      </c>
      <c r="C12" s="6" t="s">
        <v>302</v>
      </c>
      <c r="D12" s="37" t="s">
        <v>168</v>
      </c>
      <c r="E12" s="6" t="s">
        <v>97</v>
      </c>
      <c r="F12" s="38">
        <f>0.18*0.18*0.03*10</f>
        <v>0.00972</v>
      </c>
      <c r="I12" s="32"/>
      <c r="J12" s="33"/>
    </row>
    <row r="13" spans="2:10" ht="30" customHeight="1">
      <c r="B13" s="42" t="s">
        <v>330</v>
      </c>
      <c r="C13" s="13" t="s">
        <v>368</v>
      </c>
      <c r="D13" s="37">
        <v>10</v>
      </c>
      <c r="E13" s="13" t="s">
        <v>395</v>
      </c>
      <c r="F13" s="72">
        <f>10</f>
        <v>10</v>
      </c>
      <c r="I13" s="32"/>
      <c r="J13" s="33"/>
    </row>
    <row r="14" spans="1:6" ht="39.75" customHeight="1">
      <c r="A14" s="18"/>
      <c r="B14" s="63" t="s">
        <v>10</v>
      </c>
      <c r="C14" s="64"/>
      <c r="D14" s="65"/>
      <c r="E14" s="66"/>
      <c r="F14" s="67"/>
    </row>
    <row r="15" spans="2:6" ht="30" customHeight="1">
      <c r="B15" s="90" t="s">
        <v>211</v>
      </c>
      <c r="C15" s="91"/>
      <c r="D15" s="91"/>
      <c r="E15" s="7">
        <v>10</v>
      </c>
      <c r="F15" s="8" t="s">
        <v>165</v>
      </c>
    </row>
    <row r="16" spans="2:10" ht="20.25" customHeight="1">
      <c r="B16" s="26" t="s">
        <v>59</v>
      </c>
      <c r="C16" s="27" t="s">
        <v>60</v>
      </c>
      <c r="D16" s="27" t="s">
        <v>63</v>
      </c>
      <c r="E16" s="27" t="s">
        <v>61</v>
      </c>
      <c r="F16" s="28" t="s">
        <v>62</v>
      </c>
      <c r="I16" s="2"/>
      <c r="J16" s="2"/>
    </row>
    <row r="17" spans="2:6" ht="1.5" customHeight="1">
      <c r="B17" s="5"/>
      <c r="C17" s="30"/>
      <c r="D17" s="30"/>
      <c r="E17" s="30"/>
      <c r="F17" s="31"/>
    </row>
    <row r="18" spans="2:10" ht="30" customHeight="1">
      <c r="B18" s="5" t="s">
        <v>325</v>
      </c>
      <c r="C18" s="6"/>
      <c r="D18" s="37">
        <v>10</v>
      </c>
      <c r="E18" s="6" t="s">
        <v>397</v>
      </c>
      <c r="F18" s="9">
        <f>10</f>
        <v>10</v>
      </c>
      <c r="I18" s="32"/>
      <c r="J18" s="33"/>
    </row>
    <row r="19" spans="2:10" ht="30" customHeight="1">
      <c r="B19" s="5" t="s">
        <v>326</v>
      </c>
      <c r="C19" s="6"/>
      <c r="D19" s="10" t="s">
        <v>167</v>
      </c>
      <c r="E19" s="6" t="s">
        <v>395</v>
      </c>
      <c r="F19" s="9">
        <f>10/2</f>
        <v>5</v>
      </c>
      <c r="I19" s="32"/>
      <c r="J19" s="33"/>
    </row>
    <row r="20" spans="2:10" ht="30" customHeight="1">
      <c r="B20" s="5" t="s">
        <v>321</v>
      </c>
      <c r="C20" s="6" t="s">
        <v>297</v>
      </c>
      <c r="D20" s="12"/>
      <c r="E20" s="13"/>
      <c r="F20" s="9"/>
      <c r="I20" s="32"/>
      <c r="J20" s="33"/>
    </row>
    <row r="21" spans="2:10" ht="30" customHeight="1">
      <c r="B21" s="5" t="s">
        <v>369</v>
      </c>
      <c r="C21" s="6" t="s">
        <v>370</v>
      </c>
      <c r="D21" s="3" t="s">
        <v>91</v>
      </c>
      <c r="E21" s="6" t="s">
        <v>97</v>
      </c>
      <c r="F21" s="38">
        <f>((0.105*0.105+0.075*0.075)/2*0.45-0.0508*0.0508*3.14/4*0.2)*5</f>
        <v>0.016705447599999996</v>
      </c>
      <c r="I21" s="32"/>
      <c r="J21" s="33"/>
    </row>
    <row r="22" spans="2:10" ht="30" customHeight="1">
      <c r="B22" s="5" t="s">
        <v>371</v>
      </c>
      <c r="C22" s="6" t="s">
        <v>370</v>
      </c>
      <c r="D22" s="3" t="s">
        <v>91</v>
      </c>
      <c r="E22" s="6" t="s">
        <v>97</v>
      </c>
      <c r="F22" s="38">
        <f>((0.105*0.105+0.075*0.075)/2*0.45-0.0508*0.0508*3.14/4*0.2)*5</f>
        <v>0.016705447599999996</v>
      </c>
      <c r="I22" s="32"/>
      <c r="J22" s="33"/>
    </row>
    <row r="23" spans="2:10" ht="30" customHeight="1">
      <c r="B23" s="5" t="s">
        <v>372</v>
      </c>
      <c r="C23" s="6" t="s">
        <v>370</v>
      </c>
      <c r="D23" s="3" t="s">
        <v>91</v>
      </c>
      <c r="E23" s="6" t="s">
        <v>97</v>
      </c>
      <c r="F23" s="38">
        <f>((0.105*0.105+0.075*0.075)/2*0.45-0.0508*0.0508*3.14/4*0.2)*5</f>
        <v>0.016705447599999996</v>
      </c>
      <c r="I23" s="32"/>
      <c r="J23" s="33"/>
    </row>
    <row r="24" spans="2:10" ht="30" customHeight="1">
      <c r="B24" s="5" t="s">
        <v>373</v>
      </c>
      <c r="C24" s="6" t="s">
        <v>374</v>
      </c>
      <c r="D24" s="3" t="s">
        <v>166</v>
      </c>
      <c r="E24" s="6" t="s">
        <v>97</v>
      </c>
      <c r="F24" s="38">
        <f>((0.105*0.105+0.075*0.075)/2*0.45-0.0508*0.0508*3.14/4*0.25)*5</f>
        <v>0.016198996999999996</v>
      </c>
      <c r="I24" s="32"/>
      <c r="J24" s="33"/>
    </row>
    <row r="25" spans="2:10" ht="30" customHeight="1">
      <c r="B25" s="5" t="s">
        <v>375</v>
      </c>
      <c r="C25" s="6" t="s">
        <v>374</v>
      </c>
      <c r="D25" s="3" t="s">
        <v>166</v>
      </c>
      <c r="E25" s="6" t="s">
        <v>97</v>
      </c>
      <c r="F25" s="38">
        <f>((0.105*0.105+0.075*0.075)/2*0.45-0.0508*0.0508*3.14/4*0.25)*5</f>
        <v>0.016198996999999996</v>
      </c>
      <c r="I25" s="32"/>
      <c r="J25" s="33"/>
    </row>
    <row r="26" spans="2:10" ht="30" customHeight="1">
      <c r="B26" s="5" t="s">
        <v>376</v>
      </c>
      <c r="C26" s="6" t="s">
        <v>374</v>
      </c>
      <c r="D26" s="3" t="s">
        <v>166</v>
      </c>
      <c r="E26" s="6" t="s">
        <v>97</v>
      </c>
      <c r="F26" s="55">
        <f>((0.105*0.105+0.075*0.075)/2*0.45-0.0508*0.0508*3.14/4*0.25)*5</f>
        <v>0.016198996999999996</v>
      </c>
      <c r="I26" s="32"/>
      <c r="J26" s="33"/>
    </row>
    <row r="27" spans="2:10" ht="30" customHeight="1">
      <c r="B27" s="5" t="s">
        <v>377</v>
      </c>
      <c r="C27" s="6" t="s">
        <v>339</v>
      </c>
      <c r="D27" s="3" t="s">
        <v>95</v>
      </c>
      <c r="E27" s="6" t="s">
        <v>97</v>
      </c>
      <c r="F27" s="68">
        <f>((0.105*0.105+0.075*0.075)/2*0.45-0.0508*0.0508*3.14/4*0.3)*5</f>
        <v>0.015692546399999997</v>
      </c>
      <c r="I27" s="32"/>
      <c r="J27" s="33"/>
    </row>
    <row r="28" spans="2:10" ht="30" customHeight="1">
      <c r="B28" s="5" t="s">
        <v>378</v>
      </c>
      <c r="C28" s="6" t="s">
        <v>370</v>
      </c>
      <c r="D28" s="3" t="s">
        <v>91</v>
      </c>
      <c r="E28" s="6" t="s">
        <v>97</v>
      </c>
      <c r="F28" s="38">
        <f>((0.105*0.105+0.075*0.075)/2*0.45-0.0508*0.0508*3.14/4*0.2)*5</f>
        <v>0.016705447599999996</v>
      </c>
      <c r="I28" s="32"/>
      <c r="J28" s="33"/>
    </row>
    <row r="29" spans="2:10" ht="30" customHeight="1">
      <c r="B29" s="5" t="s">
        <v>379</v>
      </c>
      <c r="C29" s="6" t="s">
        <v>370</v>
      </c>
      <c r="D29" s="3" t="s">
        <v>91</v>
      </c>
      <c r="E29" s="6" t="s">
        <v>97</v>
      </c>
      <c r="F29" s="38">
        <f>((0.105*0.105+0.075*0.075)/2*0.45-0.0508*0.0508*3.14/4*0.2)*5</f>
        <v>0.016705447599999996</v>
      </c>
      <c r="I29" s="32"/>
      <c r="J29" s="33"/>
    </row>
    <row r="30" spans="2:10" ht="30" customHeight="1">
      <c r="B30" s="5" t="e">
        <f>VLOOKUP(H30,材料表,2,FALSE)</f>
        <v>#REF!</v>
      </c>
      <c r="C30" s="6" t="e">
        <f>VLOOKUP(H30,材料表,3,FALSE)</f>
        <v>#REF!</v>
      </c>
      <c r="D30" s="3" t="s">
        <v>212</v>
      </c>
      <c r="E30" s="6" t="e">
        <f>VLOOKUP(H30,材料表,4,FALSE)</f>
        <v>#REF!</v>
      </c>
      <c r="F30" s="38">
        <f>((0.105*0.105+0.075*0.075)/2*0.45-0.0508*0.0508*3.14/4*0.25)*5</f>
        <v>0.016198996999999996</v>
      </c>
      <c r="I30" s="32"/>
      <c r="J30" s="33"/>
    </row>
    <row r="31" spans="2:10" ht="30" customHeight="1" thickBot="1">
      <c r="B31" s="43" t="e">
        <f>VLOOKUP(H31,材料表,2,FALSE)</f>
        <v>#REF!</v>
      </c>
      <c r="C31" s="44" t="e">
        <f>VLOOKUP(H31,材料表,3,FALSE)</f>
        <v>#REF!</v>
      </c>
      <c r="D31" s="45" t="s">
        <v>166</v>
      </c>
      <c r="E31" s="44" t="e">
        <f>VLOOKUP(H31,材料表,4,FALSE)</f>
        <v>#REF!</v>
      </c>
      <c r="F31" s="74">
        <f>((0.105*0.105+0.075*0.075)/2*0.45-0.0508*0.0508*3.14/4*0.25)*5</f>
        <v>0.016198996999999996</v>
      </c>
      <c r="I31" s="32"/>
      <c r="J31" s="33"/>
    </row>
    <row r="33" spans="9:10" ht="13.5">
      <c r="I33" s="2" t="s">
        <v>66</v>
      </c>
      <c r="J33" s="47">
        <f>SUM(J9:J32)</f>
        <v>0</v>
      </c>
    </row>
    <row r="34" spans="1:10" ht="13.5">
      <c r="A34" s="22"/>
      <c r="B34" s="22"/>
      <c r="C34" s="22"/>
      <c r="D34" s="22"/>
      <c r="I34" s="1" t="s">
        <v>67</v>
      </c>
      <c r="J34" s="1">
        <f>J33/E4</f>
        <v>0</v>
      </c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8"/>
      <c r="D41" s="22"/>
    </row>
    <row r="42" spans="1:4" ht="13.5">
      <c r="A42" s="22"/>
      <c r="B42" s="48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50"/>
      <c r="C44" s="48"/>
      <c r="D44" s="22"/>
    </row>
    <row r="45" spans="1:4" ht="13.5">
      <c r="A45" s="22"/>
      <c r="B45" s="48"/>
      <c r="C45" s="49"/>
      <c r="D45" s="22"/>
    </row>
    <row r="46" spans="1:4" ht="13.5">
      <c r="A46" s="22"/>
      <c r="B46" s="22"/>
      <c r="C46" s="22"/>
      <c r="D46" s="22"/>
    </row>
  </sheetData>
  <sheetProtection/>
  <mergeCells count="2">
    <mergeCell ref="B4:D4"/>
    <mergeCell ref="B15:D15"/>
  </mergeCells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90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760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121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761</v>
      </c>
      <c r="E7" s="6" t="s">
        <v>97</v>
      </c>
      <c r="F7" s="36">
        <f>(1.55*1.65*0.3+1.05*1.65*0.6)*10</f>
        <v>18.0675</v>
      </c>
      <c r="I7" s="32"/>
      <c r="J7" s="80"/>
    </row>
    <row r="8" spans="2:10" ht="30" customHeight="1">
      <c r="B8" s="5" t="s">
        <v>287</v>
      </c>
      <c r="C8" s="6" t="s">
        <v>288</v>
      </c>
      <c r="D8" s="3" t="s">
        <v>762</v>
      </c>
      <c r="E8" s="6" t="s">
        <v>97</v>
      </c>
      <c r="F8" s="34">
        <f>18-3.3</f>
        <v>14.7</v>
      </c>
      <c r="I8" s="32"/>
      <c r="J8" s="80"/>
    </row>
    <row r="9" spans="2:10" ht="30" customHeight="1">
      <c r="B9" s="5" t="s">
        <v>289</v>
      </c>
      <c r="C9" s="6">
        <v>0</v>
      </c>
      <c r="D9" s="3" t="s">
        <v>763</v>
      </c>
      <c r="E9" s="6" t="s">
        <v>97</v>
      </c>
      <c r="F9" s="36">
        <f>(0.65*0.75*0.1+0.55*0.65*0.8)*10</f>
        <v>3.3475000000000006</v>
      </c>
      <c r="I9" s="32"/>
      <c r="J9" s="80"/>
    </row>
    <row r="10" spans="2:10" ht="30" customHeight="1">
      <c r="B10" s="5" t="s">
        <v>290</v>
      </c>
      <c r="C10" s="6">
        <v>0</v>
      </c>
      <c r="D10" s="3" t="s">
        <v>764</v>
      </c>
      <c r="E10" s="6" t="s">
        <v>393</v>
      </c>
      <c r="F10" s="36">
        <f>0.65*0.75*10</f>
        <v>4.875</v>
      </c>
      <c r="I10" s="32"/>
      <c r="J10" s="80"/>
    </row>
    <row r="11" spans="2:10" ht="30" customHeight="1">
      <c r="B11" s="5" t="s">
        <v>291</v>
      </c>
      <c r="C11" s="6" t="s">
        <v>292</v>
      </c>
      <c r="D11" s="3" t="s">
        <v>764</v>
      </c>
      <c r="E11" s="6" t="s">
        <v>393</v>
      </c>
      <c r="F11" s="9">
        <f>0.65*0.75*10</f>
        <v>4.875</v>
      </c>
      <c r="I11" s="32"/>
      <c r="J11" s="80"/>
    </row>
    <row r="12" spans="2:10" ht="30" customHeight="1">
      <c r="B12" s="5" t="s">
        <v>320</v>
      </c>
      <c r="C12" s="6">
        <v>0</v>
      </c>
      <c r="D12" s="37" t="s">
        <v>765</v>
      </c>
      <c r="E12" s="6" t="s">
        <v>393</v>
      </c>
      <c r="F12" s="9">
        <f>((0.55+0.65)*2*0.8+0.35*0.656*4-(0.35*0.4+0.35*0.356)+0.356*0.1*2)*10</f>
        <v>26.450000000000003</v>
      </c>
      <c r="I12" s="32"/>
      <c r="J12" s="80"/>
    </row>
    <row r="13" spans="2:10" ht="30" customHeight="1">
      <c r="B13" s="5" t="s">
        <v>294</v>
      </c>
      <c r="C13" s="6" t="s">
        <v>295</v>
      </c>
      <c r="D13" s="37" t="s">
        <v>766</v>
      </c>
      <c r="E13" s="6" t="s">
        <v>97</v>
      </c>
      <c r="F13" s="9">
        <f>(0.55*0.65*0.8-(0.35*0.35*0.656+0.35*0.356*0.1+0.52*0.56*0.044))*10</f>
        <v>1.8036720000000006</v>
      </c>
      <c r="I13" s="32"/>
      <c r="J13" s="80"/>
    </row>
    <row r="14" spans="2:10" ht="30" customHeight="1">
      <c r="B14" s="5"/>
      <c r="C14" s="6"/>
      <c r="D14" s="76"/>
      <c r="E14" s="6"/>
      <c r="F14" s="77"/>
      <c r="I14" s="32"/>
      <c r="J14" s="80"/>
    </row>
    <row r="15" spans="2:10" ht="30" customHeight="1">
      <c r="B15" s="84" t="s">
        <v>767</v>
      </c>
      <c r="C15" s="6"/>
      <c r="D15" s="10"/>
      <c r="E15" s="6"/>
      <c r="F15" s="77"/>
      <c r="I15" s="32"/>
      <c r="J15" s="80"/>
    </row>
    <row r="16" spans="2:10" ht="30" customHeight="1">
      <c r="B16" s="5" t="s">
        <v>756</v>
      </c>
      <c r="C16" s="6" t="s">
        <v>768</v>
      </c>
      <c r="D16" s="78">
        <v>10</v>
      </c>
      <c r="E16" s="6" t="s">
        <v>394</v>
      </c>
      <c r="F16" s="79">
        <f>10</f>
        <v>10</v>
      </c>
      <c r="I16" s="32"/>
      <c r="J16" s="80"/>
    </row>
    <row r="17" spans="2:10" ht="30" customHeight="1">
      <c r="B17" s="5"/>
      <c r="C17" s="6"/>
      <c r="D17" s="10"/>
      <c r="E17" s="6"/>
      <c r="F17" s="54"/>
      <c r="I17" s="32"/>
      <c r="J17" s="80"/>
    </row>
    <row r="18" spans="2:10" ht="30" customHeight="1">
      <c r="B18" s="84" t="s">
        <v>769</v>
      </c>
      <c r="C18" s="6"/>
      <c r="D18" s="10"/>
      <c r="E18" s="6"/>
      <c r="F18" s="54"/>
      <c r="I18" s="32"/>
      <c r="J18" s="80"/>
    </row>
    <row r="19" spans="2:10" ht="30" customHeight="1">
      <c r="B19" s="5" t="s">
        <v>756</v>
      </c>
      <c r="C19" s="6" t="s">
        <v>770</v>
      </c>
      <c r="D19" s="4">
        <v>10</v>
      </c>
      <c r="E19" s="6" t="s">
        <v>394</v>
      </c>
      <c r="F19" s="79">
        <f>10</f>
        <v>10</v>
      </c>
      <c r="I19" s="32"/>
      <c r="J19" s="80"/>
    </row>
    <row r="20" spans="2:10" ht="30" customHeight="1">
      <c r="B20" s="5"/>
      <c r="C20" s="6"/>
      <c r="D20" s="10"/>
      <c r="E20" s="6"/>
      <c r="F20" s="77"/>
      <c r="I20" s="32"/>
      <c r="J20" s="80"/>
    </row>
    <row r="21" spans="2:10" ht="30" customHeight="1">
      <c r="B21" s="5"/>
      <c r="C21" s="6"/>
      <c r="D21" s="10"/>
      <c r="E21" s="6"/>
      <c r="F21" s="11"/>
      <c r="I21" s="32"/>
      <c r="J21" s="80"/>
    </row>
    <row r="22" spans="2:10" ht="39" customHeight="1">
      <c r="B22" s="5"/>
      <c r="C22" s="6"/>
      <c r="D22" s="37"/>
      <c r="E22" s="13"/>
      <c r="F22" s="38"/>
      <c r="I22" s="32"/>
      <c r="J22" s="80"/>
    </row>
    <row r="23" spans="2:10" ht="30" customHeight="1">
      <c r="B23" s="5"/>
      <c r="C23" s="6"/>
      <c r="D23" s="12"/>
      <c r="E23" s="13"/>
      <c r="F23" s="9"/>
      <c r="I23" s="32"/>
      <c r="J23" s="80"/>
    </row>
    <row r="24" spans="2:10" ht="30" customHeight="1">
      <c r="B24" s="5"/>
      <c r="C24" s="6"/>
      <c r="D24" s="10"/>
      <c r="E24" s="13"/>
      <c r="F24" s="55"/>
      <c r="I24" s="32"/>
      <c r="J24" s="80"/>
    </row>
    <row r="25" spans="2:10" ht="30" customHeight="1">
      <c r="B25" s="5"/>
      <c r="C25" s="6"/>
      <c r="D25" s="10"/>
      <c r="E25" s="13"/>
      <c r="F25" s="11"/>
      <c r="I25" s="32"/>
      <c r="J25" s="80"/>
    </row>
    <row r="26" spans="2:10" ht="30" customHeight="1">
      <c r="B26" s="5"/>
      <c r="C26" s="6"/>
      <c r="D26" s="37"/>
      <c r="E26" s="13"/>
      <c r="F26" s="36"/>
      <c r="I26" s="32"/>
      <c r="J26" s="80"/>
    </row>
    <row r="27" spans="2:10" ht="30" customHeight="1">
      <c r="B27" s="5"/>
      <c r="C27" s="6"/>
      <c r="D27" s="37"/>
      <c r="E27" s="6"/>
      <c r="F27" s="41"/>
      <c r="I27" s="32"/>
      <c r="J27" s="80"/>
    </row>
    <row r="28" spans="2:10" ht="30" customHeight="1">
      <c r="B28" s="5"/>
      <c r="C28" s="6"/>
      <c r="D28" s="12"/>
      <c r="E28" s="13"/>
      <c r="F28" s="9"/>
      <c r="I28" s="32"/>
      <c r="J28" s="80"/>
    </row>
    <row r="29" spans="2:10" ht="30" customHeight="1" thickBot="1">
      <c r="B29" s="43"/>
      <c r="C29" s="44"/>
      <c r="D29" s="45"/>
      <c r="E29" s="44"/>
      <c r="F29" s="46"/>
      <c r="I29" s="32"/>
      <c r="J29" s="80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9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1297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771</v>
      </c>
      <c r="E7" s="6" t="s">
        <v>97</v>
      </c>
      <c r="F7" s="36"/>
      <c r="I7" s="32"/>
      <c r="J7" s="75"/>
    </row>
    <row r="8" spans="2:10" ht="30" customHeight="1">
      <c r="B8" s="5" t="s">
        <v>287</v>
      </c>
      <c r="C8" s="6" t="s">
        <v>288</v>
      </c>
      <c r="D8" s="3" t="s">
        <v>772</v>
      </c>
      <c r="E8" s="6" t="s">
        <v>97</v>
      </c>
      <c r="F8" s="34"/>
      <c r="I8" s="32"/>
      <c r="J8" s="75"/>
    </row>
    <row r="9" spans="2:10" ht="30" customHeight="1">
      <c r="B9" s="5" t="s">
        <v>289</v>
      </c>
      <c r="C9" s="6">
        <v>0</v>
      </c>
      <c r="D9" s="3" t="s">
        <v>772</v>
      </c>
      <c r="E9" s="6" t="s">
        <v>97</v>
      </c>
      <c r="F9" s="36"/>
      <c r="I9" s="32"/>
      <c r="J9" s="75"/>
    </row>
    <row r="10" spans="2:10" ht="30" customHeight="1">
      <c r="B10" s="5" t="s">
        <v>507</v>
      </c>
      <c r="C10" s="6">
        <v>0</v>
      </c>
      <c r="D10" s="3" t="s">
        <v>773</v>
      </c>
      <c r="E10" s="6" t="s">
        <v>97</v>
      </c>
      <c r="F10" s="9">
        <f>(0.25*0.25-0.025*0.025*3.14)*10/0.9</f>
        <v>0.6726388888888889</v>
      </c>
      <c r="I10" s="32"/>
      <c r="J10" s="75"/>
    </row>
    <row r="11" spans="2:10" ht="30" customHeight="1">
      <c r="B11" s="5" t="s">
        <v>774</v>
      </c>
      <c r="C11" s="6" t="s">
        <v>775</v>
      </c>
      <c r="D11" s="76"/>
      <c r="E11" s="6" t="s">
        <v>397</v>
      </c>
      <c r="F11" s="9">
        <v>10</v>
      </c>
      <c r="I11" s="32"/>
      <c r="J11" s="75"/>
    </row>
    <row r="12" spans="2:10" ht="30" customHeight="1">
      <c r="B12" s="5" t="s">
        <v>510</v>
      </c>
      <c r="C12" s="6">
        <v>0</v>
      </c>
      <c r="D12" s="3" t="s">
        <v>776</v>
      </c>
      <c r="E12" s="6" t="s">
        <v>97</v>
      </c>
      <c r="F12" s="77">
        <f>(0.25*0.25-0.025*0.025*3.14)*10</f>
        <v>0.605375</v>
      </c>
      <c r="I12" s="32"/>
      <c r="J12" s="75"/>
    </row>
    <row r="13" spans="2:10" ht="30" customHeight="1">
      <c r="B13" s="5"/>
      <c r="C13" s="6"/>
      <c r="D13" s="37"/>
      <c r="E13" s="6"/>
      <c r="F13" s="77"/>
      <c r="I13" s="32"/>
      <c r="J13" s="75"/>
    </row>
    <row r="14" spans="2:10" ht="30" customHeight="1">
      <c r="B14" s="5"/>
      <c r="C14" s="6"/>
      <c r="D14" s="76"/>
      <c r="E14" s="6"/>
      <c r="F14" s="77"/>
      <c r="I14" s="32"/>
      <c r="J14" s="75"/>
    </row>
    <row r="15" spans="2:10" ht="30" customHeight="1">
      <c r="B15" s="5"/>
      <c r="C15" s="6"/>
      <c r="D15" s="78"/>
      <c r="E15" s="6"/>
      <c r="F15" s="79"/>
      <c r="I15" s="32"/>
      <c r="J15" s="75"/>
    </row>
    <row r="16" spans="2:10" ht="30" customHeight="1">
      <c r="B16" s="5"/>
      <c r="C16" s="6"/>
      <c r="D16" s="4"/>
      <c r="E16" s="6"/>
      <c r="F16" s="79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9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1" sqref="C21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1298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771</v>
      </c>
      <c r="E7" s="6" t="s">
        <v>97</v>
      </c>
      <c r="F7" s="36"/>
      <c r="I7" s="32"/>
      <c r="J7" s="75"/>
    </row>
    <row r="8" spans="2:10" ht="30" customHeight="1">
      <c r="B8" s="5" t="s">
        <v>287</v>
      </c>
      <c r="C8" s="6" t="s">
        <v>288</v>
      </c>
      <c r="D8" s="3" t="s">
        <v>772</v>
      </c>
      <c r="E8" s="6" t="s">
        <v>97</v>
      </c>
      <c r="F8" s="34"/>
      <c r="I8" s="32"/>
      <c r="J8" s="75"/>
    </row>
    <row r="9" spans="2:10" ht="30" customHeight="1">
      <c r="B9" s="5" t="s">
        <v>289</v>
      </c>
      <c r="C9" s="6">
        <v>0</v>
      </c>
      <c r="D9" s="3" t="s">
        <v>772</v>
      </c>
      <c r="E9" s="6" t="s">
        <v>97</v>
      </c>
      <c r="F9" s="36"/>
      <c r="I9" s="32"/>
      <c r="J9" s="75"/>
    </row>
    <row r="10" spans="2:10" ht="30" customHeight="1">
      <c r="B10" s="5" t="s">
        <v>507</v>
      </c>
      <c r="C10" s="6">
        <v>0</v>
      </c>
      <c r="D10" s="3" t="s">
        <v>777</v>
      </c>
      <c r="E10" s="6" t="s">
        <v>97</v>
      </c>
      <c r="F10" s="9">
        <f>(0.3*0.3-0.05*0.05*3.14)*10/0.9</f>
        <v>0.9127777777777778</v>
      </c>
      <c r="I10" s="32"/>
      <c r="J10" s="75"/>
    </row>
    <row r="11" spans="2:10" ht="30" customHeight="1">
      <c r="B11" s="5" t="s">
        <v>774</v>
      </c>
      <c r="C11" s="6" t="s">
        <v>778</v>
      </c>
      <c r="D11" s="76"/>
      <c r="E11" s="6" t="s">
        <v>397</v>
      </c>
      <c r="F11" s="9">
        <v>10</v>
      </c>
      <c r="I11" s="32"/>
      <c r="J11" s="75"/>
    </row>
    <row r="12" spans="2:10" ht="30" customHeight="1">
      <c r="B12" s="5" t="s">
        <v>510</v>
      </c>
      <c r="C12" s="6">
        <v>0</v>
      </c>
      <c r="D12" s="3" t="s">
        <v>779</v>
      </c>
      <c r="E12" s="6" t="s">
        <v>97</v>
      </c>
      <c r="F12" s="77">
        <f>(0.3*0.3-0.05*0.05*3.14)*10</f>
        <v>0.8215</v>
      </c>
      <c r="I12" s="32"/>
      <c r="J12" s="75"/>
    </row>
    <row r="13" spans="2:10" ht="30" customHeight="1">
      <c r="B13" s="5"/>
      <c r="C13" s="6"/>
      <c r="D13" s="37"/>
      <c r="E13" s="6"/>
      <c r="F13" s="77"/>
      <c r="I13" s="32"/>
      <c r="J13" s="75"/>
    </row>
    <row r="14" spans="2:10" ht="30" customHeight="1">
      <c r="B14" s="5"/>
      <c r="C14" s="6"/>
      <c r="D14" s="76"/>
      <c r="E14" s="6"/>
      <c r="F14" s="77"/>
      <c r="I14" s="32"/>
      <c r="J14" s="75"/>
    </row>
    <row r="15" spans="2:10" ht="30" customHeight="1">
      <c r="B15" s="5"/>
      <c r="C15" s="6"/>
      <c r="D15" s="78"/>
      <c r="E15" s="6"/>
      <c r="F15" s="79"/>
      <c r="I15" s="32"/>
      <c r="J15" s="75"/>
    </row>
    <row r="16" spans="2:10" ht="30" customHeight="1">
      <c r="B16" s="5"/>
      <c r="C16" s="6"/>
      <c r="D16" s="4"/>
      <c r="E16" s="6"/>
      <c r="F16" s="79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93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1" sqref="C21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1299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709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771</v>
      </c>
      <c r="E7" s="6" t="s">
        <v>97</v>
      </c>
      <c r="F7" s="36"/>
      <c r="I7" s="32"/>
      <c r="J7" s="75"/>
    </row>
    <row r="8" spans="2:10" ht="30" customHeight="1">
      <c r="B8" s="5" t="s">
        <v>287</v>
      </c>
      <c r="C8" s="6" t="s">
        <v>288</v>
      </c>
      <c r="D8" s="3" t="s">
        <v>780</v>
      </c>
      <c r="E8" s="6" t="s">
        <v>97</v>
      </c>
      <c r="F8" s="34"/>
      <c r="I8" s="32"/>
      <c r="J8" s="75"/>
    </row>
    <row r="9" spans="2:10" ht="30" customHeight="1">
      <c r="B9" s="5" t="s">
        <v>289</v>
      </c>
      <c r="C9" s="6">
        <v>0</v>
      </c>
      <c r="D9" s="3" t="s">
        <v>780</v>
      </c>
      <c r="E9" s="6" t="s">
        <v>97</v>
      </c>
      <c r="F9" s="36"/>
      <c r="I9" s="32"/>
      <c r="J9" s="75"/>
    </row>
    <row r="10" spans="2:10" ht="30" customHeight="1">
      <c r="B10" s="5" t="s">
        <v>507</v>
      </c>
      <c r="C10" s="6">
        <v>0</v>
      </c>
      <c r="D10" s="3" t="s">
        <v>781</v>
      </c>
      <c r="E10" s="6" t="s">
        <v>97</v>
      </c>
      <c r="F10" s="9">
        <f>(0.35*0.35-0.075*0.075*3.14)*10/0.9</f>
        <v>1.164861111111111</v>
      </c>
      <c r="I10" s="32"/>
      <c r="J10" s="75"/>
    </row>
    <row r="11" spans="2:10" ht="30" customHeight="1">
      <c r="B11" s="5" t="s">
        <v>774</v>
      </c>
      <c r="C11" s="6" t="s">
        <v>782</v>
      </c>
      <c r="D11" s="76"/>
      <c r="E11" s="6" t="s">
        <v>397</v>
      </c>
      <c r="F11" s="9">
        <v>10</v>
      </c>
      <c r="I11" s="32"/>
      <c r="J11" s="75"/>
    </row>
    <row r="12" spans="2:10" ht="30" customHeight="1">
      <c r="B12" s="5" t="s">
        <v>510</v>
      </c>
      <c r="C12" s="6">
        <v>0</v>
      </c>
      <c r="D12" s="3" t="s">
        <v>783</v>
      </c>
      <c r="E12" s="6" t="s">
        <v>97</v>
      </c>
      <c r="F12" s="77">
        <f>(0.35*0.35-0.075*0.075*3.14)*10</f>
        <v>1.0483749999999998</v>
      </c>
      <c r="I12" s="32"/>
      <c r="J12" s="75"/>
    </row>
    <row r="13" spans="2:10" ht="30" customHeight="1">
      <c r="B13" s="5"/>
      <c r="C13" s="6"/>
      <c r="D13" s="37"/>
      <c r="E13" s="6"/>
      <c r="F13" s="77"/>
      <c r="I13" s="32"/>
      <c r="J13" s="75"/>
    </row>
    <row r="14" spans="2:10" ht="30" customHeight="1">
      <c r="B14" s="5"/>
      <c r="C14" s="6"/>
      <c r="D14" s="76"/>
      <c r="E14" s="6"/>
      <c r="F14" s="77"/>
      <c r="I14" s="32"/>
      <c r="J14" s="75"/>
    </row>
    <row r="15" spans="2:10" ht="30" customHeight="1">
      <c r="B15" s="5"/>
      <c r="C15" s="6"/>
      <c r="D15" s="78"/>
      <c r="E15" s="6"/>
      <c r="F15" s="79"/>
      <c r="I15" s="32"/>
      <c r="J15" s="75"/>
    </row>
    <row r="16" spans="2:10" ht="30" customHeight="1">
      <c r="B16" s="5"/>
      <c r="C16" s="6"/>
      <c r="D16" s="4"/>
      <c r="E16" s="6"/>
      <c r="F16" s="79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94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1300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771</v>
      </c>
      <c r="E7" s="6" t="s">
        <v>97</v>
      </c>
      <c r="F7" s="36"/>
      <c r="I7" s="32"/>
      <c r="J7" s="75"/>
    </row>
    <row r="8" spans="2:10" ht="30" customHeight="1">
      <c r="B8" s="5" t="s">
        <v>287</v>
      </c>
      <c r="C8" s="6" t="s">
        <v>288</v>
      </c>
      <c r="D8" s="3" t="s">
        <v>772</v>
      </c>
      <c r="E8" s="6" t="s">
        <v>97</v>
      </c>
      <c r="F8" s="34"/>
      <c r="I8" s="32"/>
      <c r="J8" s="75"/>
    </row>
    <row r="9" spans="2:10" ht="30" customHeight="1">
      <c r="B9" s="5" t="s">
        <v>289</v>
      </c>
      <c r="C9" s="6">
        <v>0</v>
      </c>
      <c r="D9" s="3" t="s">
        <v>780</v>
      </c>
      <c r="E9" s="6" t="s">
        <v>97</v>
      </c>
      <c r="F9" s="36"/>
      <c r="I9" s="32"/>
      <c r="J9" s="75"/>
    </row>
    <row r="10" spans="2:10" ht="30" customHeight="1">
      <c r="B10" s="5" t="s">
        <v>507</v>
      </c>
      <c r="C10" s="6">
        <v>0</v>
      </c>
      <c r="D10" s="3" t="s">
        <v>784</v>
      </c>
      <c r="E10" s="6" t="s">
        <v>97</v>
      </c>
      <c r="F10" s="9">
        <f>(0.4*0.4-0.1*0.1*3.14)*10/0.9</f>
        <v>1.428888888888889</v>
      </c>
      <c r="I10" s="32"/>
      <c r="J10" s="75"/>
    </row>
    <row r="11" spans="2:10" ht="30" customHeight="1">
      <c r="B11" s="5" t="s">
        <v>774</v>
      </c>
      <c r="C11" s="6" t="s">
        <v>785</v>
      </c>
      <c r="D11" s="76"/>
      <c r="E11" s="6" t="s">
        <v>397</v>
      </c>
      <c r="F11" s="9">
        <v>10</v>
      </c>
      <c r="I11" s="32"/>
      <c r="J11" s="75"/>
    </row>
    <row r="12" spans="2:10" ht="30" customHeight="1">
      <c r="B12" s="5" t="s">
        <v>510</v>
      </c>
      <c r="C12" s="6">
        <v>0</v>
      </c>
      <c r="D12" s="3" t="s">
        <v>786</v>
      </c>
      <c r="E12" s="6" t="s">
        <v>97</v>
      </c>
      <c r="F12" s="77">
        <f>(0.4*0.4-0.1*0.1*3.14)*10</f>
        <v>1.2860000000000003</v>
      </c>
      <c r="I12" s="32"/>
      <c r="J12" s="75"/>
    </row>
    <row r="13" spans="2:10" ht="30" customHeight="1">
      <c r="B13" s="5"/>
      <c r="C13" s="6"/>
      <c r="D13" s="37"/>
      <c r="E13" s="6"/>
      <c r="F13" s="77"/>
      <c r="I13" s="32"/>
      <c r="J13" s="75"/>
    </row>
    <row r="14" spans="2:10" ht="30" customHeight="1">
      <c r="B14" s="5"/>
      <c r="C14" s="6"/>
      <c r="D14" s="76"/>
      <c r="E14" s="6"/>
      <c r="F14" s="77"/>
      <c r="I14" s="32"/>
      <c r="J14" s="75"/>
    </row>
    <row r="15" spans="2:10" ht="30" customHeight="1">
      <c r="B15" s="5"/>
      <c r="C15" s="6"/>
      <c r="D15" s="78"/>
      <c r="E15" s="6"/>
      <c r="F15" s="79"/>
      <c r="I15" s="32"/>
      <c r="J15" s="75"/>
    </row>
    <row r="16" spans="2:10" ht="30" customHeight="1">
      <c r="B16" s="5"/>
      <c r="C16" s="6"/>
      <c r="D16" s="4"/>
      <c r="E16" s="6"/>
      <c r="F16" s="79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95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787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771</v>
      </c>
      <c r="E7" s="6" t="s">
        <v>97</v>
      </c>
      <c r="F7" s="36"/>
      <c r="I7" s="32"/>
      <c r="J7" s="75"/>
    </row>
    <row r="8" spans="2:10" ht="30" customHeight="1">
      <c r="B8" s="5" t="s">
        <v>287</v>
      </c>
      <c r="C8" s="6" t="s">
        <v>288</v>
      </c>
      <c r="D8" s="3" t="s">
        <v>772</v>
      </c>
      <c r="E8" s="6" t="s">
        <v>97</v>
      </c>
      <c r="F8" s="34"/>
      <c r="I8" s="32"/>
      <c r="J8" s="75"/>
    </row>
    <row r="9" spans="2:10" ht="30" customHeight="1">
      <c r="B9" s="5" t="s">
        <v>289</v>
      </c>
      <c r="C9" s="6">
        <v>0</v>
      </c>
      <c r="D9" s="3" t="s">
        <v>772</v>
      </c>
      <c r="E9" s="6" t="s">
        <v>97</v>
      </c>
      <c r="F9" s="36"/>
      <c r="I9" s="32"/>
      <c r="J9" s="75"/>
    </row>
    <row r="10" spans="2:10" ht="30" customHeight="1">
      <c r="B10" s="5" t="s">
        <v>788</v>
      </c>
      <c r="C10" s="6" t="s">
        <v>789</v>
      </c>
      <c r="D10" s="37" t="s">
        <v>790</v>
      </c>
      <c r="E10" s="6" t="s">
        <v>97</v>
      </c>
      <c r="F10" s="9">
        <f>(0.3*0.3-0.057*0.057*3.14)*10/0.9</f>
        <v>0.8866459999999998</v>
      </c>
      <c r="I10" s="32"/>
      <c r="J10" s="75"/>
    </row>
    <row r="11" spans="2:10" ht="30" customHeight="1">
      <c r="B11" s="5" t="s">
        <v>791</v>
      </c>
      <c r="C11" s="6" t="s">
        <v>792</v>
      </c>
      <c r="D11" s="76" t="s">
        <v>793</v>
      </c>
      <c r="E11" s="6" t="s">
        <v>397</v>
      </c>
      <c r="F11" s="9">
        <f>10*1.01</f>
        <v>10.1</v>
      </c>
      <c r="I11" s="32"/>
      <c r="J11" s="75"/>
    </row>
    <row r="12" spans="2:10" ht="30" customHeight="1">
      <c r="B12" s="5" t="s">
        <v>794</v>
      </c>
      <c r="C12" s="6">
        <v>0</v>
      </c>
      <c r="D12" s="37" t="s">
        <v>795</v>
      </c>
      <c r="E12" s="6" t="s">
        <v>399</v>
      </c>
      <c r="F12" s="9">
        <f>0.4/100*10</f>
        <v>0.04</v>
      </c>
      <c r="I12" s="32"/>
      <c r="J12" s="75"/>
    </row>
    <row r="13" spans="2:10" ht="30" customHeight="1">
      <c r="B13" s="5" t="s">
        <v>510</v>
      </c>
      <c r="C13" s="6">
        <v>0</v>
      </c>
      <c r="D13" s="37" t="s">
        <v>796</v>
      </c>
      <c r="E13" s="6" t="s">
        <v>97</v>
      </c>
      <c r="F13" s="77">
        <f>(0.3*0.3-0.057*0.057*3.14)*10</f>
        <v>0.7979813999999998</v>
      </c>
      <c r="I13" s="32"/>
      <c r="J13" s="75"/>
    </row>
    <row r="14" spans="2:10" ht="30" customHeight="1">
      <c r="B14" s="5"/>
      <c r="C14" s="6"/>
      <c r="D14" s="76"/>
      <c r="E14" s="6"/>
      <c r="F14" s="77"/>
      <c r="I14" s="32"/>
      <c r="J14" s="75"/>
    </row>
    <row r="15" spans="2:10" ht="30" customHeight="1">
      <c r="B15" s="5"/>
      <c r="C15" s="6"/>
      <c r="D15" s="78"/>
      <c r="E15" s="6"/>
      <c r="F15" s="79"/>
      <c r="I15" s="32"/>
      <c r="J15" s="75"/>
    </row>
    <row r="16" spans="2:10" ht="30" customHeight="1">
      <c r="B16" s="5"/>
      <c r="C16" s="6"/>
      <c r="D16" s="4"/>
      <c r="E16" s="6"/>
      <c r="F16" s="79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96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797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771</v>
      </c>
      <c r="E7" s="6" t="s">
        <v>97</v>
      </c>
      <c r="F7" s="36"/>
      <c r="I7" s="32"/>
      <c r="J7" s="75"/>
    </row>
    <row r="8" spans="2:10" ht="30" customHeight="1">
      <c r="B8" s="5" t="s">
        <v>287</v>
      </c>
      <c r="C8" s="6" t="s">
        <v>288</v>
      </c>
      <c r="D8" s="3" t="s">
        <v>772</v>
      </c>
      <c r="E8" s="6" t="s">
        <v>97</v>
      </c>
      <c r="F8" s="34"/>
      <c r="I8" s="32"/>
      <c r="J8" s="75"/>
    </row>
    <row r="9" spans="2:10" ht="30" customHeight="1">
      <c r="B9" s="5" t="s">
        <v>289</v>
      </c>
      <c r="C9" s="6">
        <v>0</v>
      </c>
      <c r="D9" s="3" t="s">
        <v>798</v>
      </c>
      <c r="E9" s="6" t="s">
        <v>97</v>
      </c>
      <c r="F9" s="36"/>
      <c r="I9" s="32"/>
      <c r="J9" s="75"/>
    </row>
    <row r="10" spans="2:10" ht="30" customHeight="1">
      <c r="B10" s="5" t="s">
        <v>788</v>
      </c>
      <c r="C10" s="6" t="s">
        <v>789</v>
      </c>
      <c r="D10" s="3" t="s">
        <v>799</v>
      </c>
      <c r="E10" s="6" t="s">
        <v>97</v>
      </c>
      <c r="F10" s="9">
        <f>(0.35*0.35-0.0825*0.0825*3.14)*10/0.9</f>
        <v>1.1236486111111108</v>
      </c>
      <c r="I10" s="32"/>
      <c r="J10" s="75"/>
    </row>
    <row r="11" spans="2:10" ht="30" customHeight="1">
      <c r="B11" s="5" t="s">
        <v>791</v>
      </c>
      <c r="C11" s="6" t="s">
        <v>800</v>
      </c>
      <c r="D11" s="76" t="s">
        <v>793</v>
      </c>
      <c r="E11" s="6" t="s">
        <v>397</v>
      </c>
      <c r="F11" s="9">
        <f>10*1.01</f>
        <v>10.1</v>
      </c>
      <c r="I11" s="32"/>
      <c r="J11" s="75"/>
    </row>
    <row r="12" spans="2:10" ht="30" customHeight="1">
      <c r="B12" s="5" t="s">
        <v>794</v>
      </c>
      <c r="C12" s="6">
        <v>0</v>
      </c>
      <c r="D12" s="37" t="s">
        <v>801</v>
      </c>
      <c r="E12" s="6" t="s">
        <v>399</v>
      </c>
      <c r="F12" s="9">
        <f>0.8/100*10</f>
        <v>0.08</v>
      </c>
      <c r="I12" s="32"/>
      <c r="J12" s="75"/>
    </row>
    <row r="13" spans="2:10" ht="30" customHeight="1">
      <c r="B13" s="5" t="s">
        <v>510</v>
      </c>
      <c r="C13" s="6">
        <v>0</v>
      </c>
      <c r="D13" s="3" t="s">
        <v>802</v>
      </c>
      <c r="E13" s="6" t="s">
        <v>97</v>
      </c>
      <c r="F13" s="77">
        <f>(0.35*0.35-0.0825*0.0825*3.14)*10</f>
        <v>1.0112837499999998</v>
      </c>
      <c r="I13" s="32"/>
      <c r="J13" s="75"/>
    </row>
    <row r="14" spans="2:10" ht="30" customHeight="1">
      <c r="B14" s="5"/>
      <c r="C14" s="6"/>
      <c r="D14" s="76"/>
      <c r="E14" s="6"/>
      <c r="F14" s="77"/>
      <c r="I14" s="32"/>
      <c r="J14" s="75"/>
    </row>
    <row r="15" spans="2:10" ht="30" customHeight="1">
      <c r="B15" s="5"/>
      <c r="C15" s="6"/>
      <c r="D15" s="78"/>
      <c r="E15" s="6"/>
      <c r="F15" s="79"/>
      <c r="I15" s="32"/>
      <c r="J15" s="75"/>
    </row>
    <row r="16" spans="2:10" ht="30" customHeight="1">
      <c r="B16" s="5"/>
      <c r="C16" s="6"/>
      <c r="D16" s="4"/>
      <c r="E16" s="6"/>
      <c r="F16" s="79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97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803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771</v>
      </c>
      <c r="E7" s="6" t="s">
        <v>97</v>
      </c>
      <c r="F7" s="36"/>
      <c r="I7" s="32"/>
      <c r="J7" s="75"/>
    </row>
    <row r="8" spans="2:10" ht="30" customHeight="1">
      <c r="B8" s="5" t="s">
        <v>287</v>
      </c>
      <c r="C8" s="6" t="s">
        <v>288</v>
      </c>
      <c r="D8" s="3" t="s">
        <v>772</v>
      </c>
      <c r="E8" s="6" t="s">
        <v>97</v>
      </c>
      <c r="F8" s="34"/>
      <c r="I8" s="32"/>
      <c r="J8" s="75"/>
    </row>
    <row r="9" spans="2:10" ht="30" customHeight="1">
      <c r="B9" s="5" t="s">
        <v>289</v>
      </c>
      <c r="C9" s="6">
        <v>0</v>
      </c>
      <c r="D9" s="3" t="s">
        <v>772</v>
      </c>
      <c r="E9" s="6" t="s">
        <v>97</v>
      </c>
      <c r="F9" s="36"/>
      <c r="I9" s="32"/>
      <c r="J9" s="75"/>
    </row>
    <row r="10" spans="2:10" ht="30" customHeight="1">
      <c r="B10" s="5" t="s">
        <v>788</v>
      </c>
      <c r="C10" s="6" t="s">
        <v>789</v>
      </c>
      <c r="D10" s="3" t="s">
        <v>804</v>
      </c>
      <c r="E10" s="6" t="s">
        <v>97</v>
      </c>
      <c r="F10" s="9">
        <f>(0.4*0.4-0.108*0.108*3.14)*10/0.9</f>
        <v>1.3708337777777782</v>
      </c>
      <c r="I10" s="32"/>
      <c r="J10" s="75"/>
    </row>
    <row r="11" spans="2:10" ht="30" customHeight="1">
      <c r="B11" s="5" t="s">
        <v>791</v>
      </c>
      <c r="C11" s="6" t="s">
        <v>805</v>
      </c>
      <c r="D11" s="76" t="s">
        <v>806</v>
      </c>
      <c r="E11" s="6" t="s">
        <v>397</v>
      </c>
      <c r="F11" s="9">
        <f>10*1.01</f>
        <v>10.1</v>
      </c>
      <c r="I11" s="32"/>
      <c r="J11" s="75"/>
    </row>
    <row r="12" spans="2:10" ht="30" customHeight="1">
      <c r="B12" s="5" t="s">
        <v>794</v>
      </c>
      <c r="C12" s="6">
        <v>0</v>
      </c>
      <c r="D12" s="37" t="s">
        <v>807</v>
      </c>
      <c r="E12" s="6" t="s">
        <v>399</v>
      </c>
      <c r="F12" s="9">
        <f>1.4/100*10</f>
        <v>0.13999999999999999</v>
      </c>
      <c r="I12" s="32"/>
      <c r="J12" s="75"/>
    </row>
    <row r="13" spans="2:10" ht="30" customHeight="1">
      <c r="B13" s="5" t="s">
        <v>510</v>
      </c>
      <c r="C13" s="6">
        <v>0</v>
      </c>
      <c r="D13" s="3" t="s">
        <v>808</v>
      </c>
      <c r="E13" s="6" t="s">
        <v>97</v>
      </c>
      <c r="F13" s="77">
        <f>(0.4*0.4-0.108*0.108*3.14)*10</f>
        <v>1.2337504000000004</v>
      </c>
      <c r="I13" s="32"/>
      <c r="J13" s="75"/>
    </row>
    <row r="14" spans="2:10" ht="30" customHeight="1">
      <c r="B14" s="5"/>
      <c r="C14" s="6"/>
      <c r="D14" s="76"/>
      <c r="E14" s="6"/>
      <c r="F14" s="77"/>
      <c r="I14" s="32"/>
      <c r="J14" s="75"/>
    </row>
    <row r="15" spans="2:10" ht="30" customHeight="1">
      <c r="B15" s="5"/>
      <c r="C15" s="6"/>
      <c r="D15" s="78"/>
      <c r="E15" s="6"/>
      <c r="F15" s="79"/>
      <c r="I15" s="32"/>
      <c r="J15" s="75"/>
    </row>
    <row r="16" spans="2:10" ht="30" customHeight="1">
      <c r="B16" s="5"/>
      <c r="C16" s="6"/>
      <c r="D16" s="4"/>
      <c r="E16" s="6"/>
      <c r="F16" s="79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98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809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481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771</v>
      </c>
      <c r="E7" s="6" t="s">
        <v>97</v>
      </c>
      <c r="F7" s="36"/>
      <c r="I7" s="32"/>
      <c r="J7" s="75"/>
    </row>
    <row r="8" spans="2:10" ht="30" customHeight="1">
      <c r="B8" s="5" t="s">
        <v>287</v>
      </c>
      <c r="C8" s="6" t="s">
        <v>288</v>
      </c>
      <c r="D8" s="3" t="s">
        <v>798</v>
      </c>
      <c r="E8" s="6" t="s">
        <v>97</v>
      </c>
      <c r="F8" s="34"/>
      <c r="I8" s="32"/>
      <c r="J8" s="75"/>
    </row>
    <row r="9" spans="2:10" ht="30" customHeight="1">
      <c r="B9" s="5" t="s">
        <v>289</v>
      </c>
      <c r="C9" s="6">
        <v>0</v>
      </c>
      <c r="D9" s="3" t="s">
        <v>798</v>
      </c>
      <c r="E9" s="6" t="s">
        <v>97</v>
      </c>
      <c r="F9" s="36"/>
      <c r="I9" s="32"/>
      <c r="J9" s="75"/>
    </row>
    <row r="10" spans="2:10" ht="30" customHeight="1">
      <c r="B10" s="5" t="s">
        <v>788</v>
      </c>
      <c r="C10" s="6" t="s">
        <v>789</v>
      </c>
      <c r="D10" s="3" t="s">
        <v>810</v>
      </c>
      <c r="E10" s="6" t="s">
        <v>97</v>
      </c>
      <c r="F10" s="9">
        <f>(0.45*0.45-0.1335*0.1335*3.14)*10/0.9</f>
        <v>1.6282015</v>
      </c>
      <c r="I10" s="32"/>
      <c r="J10" s="75"/>
    </row>
    <row r="11" spans="2:10" ht="30" customHeight="1">
      <c r="B11" s="5" t="s">
        <v>791</v>
      </c>
      <c r="C11" s="6" t="s">
        <v>811</v>
      </c>
      <c r="D11" s="76" t="s">
        <v>793</v>
      </c>
      <c r="E11" s="6" t="s">
        <v>397</v>
      </c>
      <c r="F11" s="9">
        <f>10*1.01</f>
        <v>10.1</v>
      </c>
      <c r="I11" s="32"/>
      <c r="J11" s="75"/>
    </row>
    <row r="12" spans="2:10" ht="30" customHeight="1">
      <c r="B12" s="5" t="s">
        <v>794</v>
      </c>
      <c r="C12" s="6">
        <v>0</v>
      </c>
      <c r="D12" s="37" t="s">
        <v>812</v>
      </c>
      <c r="E12" s="6" t="s">
        <v>399</v>
      </c>
      <c r="F12" s="9">
        <f>2.3/100*10</f>
        <v>0.22999999999999998</v>
      </c>
      <c r="I12" s="32"/>
      <c r="J12" s="75"/>
    </row>
    <row r="13" spans="2:10" ht="30" customHeight="1">
      <c r="B13" s="5" t="s">
        <v>510</v>
      </c>
      <c r="C13" s="6">
        <v>0</v>
      </c>
      <c r="D13" s="3" t="s">
        <v>813</v>
      </c>
      <c r="E13" s="6" t="s">
        <v>97</v>
      </c>
      <c r="F13" s="77">
        <f>(0.45*0.45-0.1335*0.1335*3.14)*10</f>
        <v>1.4653813500000001</v>
      </c>
      <c r="I13" s="32"/>
      <c r="J13" s="75"/>
    </row>
    <row r="14" spans="2:10" ht="30" customHeight="1">
      <c r="B14" s="5"/>
      <c r="C14" s="6"/>
      <c r="D14" s="76"/>
      <c r="E14" s="6"/>
      <c r="F14" s="77"/>
      <c r="I14" s="32"/>
      <c r="J14" s="75"/>
    </row>
    <row r="15" spans="2:10" ht="30" customHeight="1">
      <c r="B15" s="5"/>
      <c r="C15" s="6"/>
      <c r="D15" s="78"/>
      <c r="E15" s="6"/>
      <c r="F15" s="79"/>
      <c r="I15" s="32"/>
      <c r="J15" s="75"/>
    </row>
    <row r="16" spans="2:10" ht="30" customHeight="1">
      <c r="B16" s="5"/>
      <c r="C16" s="6"/>
      <c r="D16" s="4"/>
      <c r="E16" s="6"/>
      <c r="F16" s="79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99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4" t="s">
        <v>58</v>
      </c>
    </row>
    <row r="2" spans="2:6" ht="27.75" customHeight="1">
      <c r="B2" s="15" t="s">
        <v>65</v>
      </c>
      <c r="C2" s="16"/>
      <c r="D2" s="16"/>
      <c r="E2" s="16"/>
      <c r="F2" s="17"/>
    </row>
    <row r="3" spans="1:6" ht="39.75" customHeight="1">
      <c r="A3" s="18"/>
      <c r="B3" s="19" t="s">
        <v>814</v>
      </c>
      <c r="C3" s="20"/>
      <c r="D3" s="21"/>
      <c r="E3" s="22"/>
      <c r="F3" s="23"/>
    </row>
    <row r="4" spans="2:6" ht="30" customHeight="1">
      <c r="B4" s="24"/>
      <c r="C4" s="25"/>
      <c r="D4" s="25"/>
      <c r="E4" s="7">
        <v>10</v>
      </c>
      <c r="F4" s="8" t="s">
        <v>11</v>
      </c>
    </row>
    <row r="5" spans="2:10" ht="20.25" customHeight="1">
      <c r="B5" s="26" t="s">
        <v>59</v>
      </c>
      <c r="C5" s="27" t="s">
        <v>60</v>
      </c>
      <c r="D5" s="27" t="s">
        <v>63</v>
      </c>
      <c r="E5" s="27" t="s">
        <v>61</v>
      </c>
      <c r="F5" s="28" t="s">
        <v>62</v>
      </c>
      <c r="I5" s="2"/>
      <c r="J5" s="2"/>
    </row>
    <row r="6" spans="2:6" ht="1.5" customHeight="1">
      <c r="B6" s="29"/>
      <c r="C6" s="30"/>
      <c r="D6" s="30"/>
      <c r="E6" s="30"/>
      <c r="F6" s="31"/>
    </row>
    <row r="7" spans="2:10" ht="30" customHeight="1">
      <c r="B7" s="5" t="s">
        <v>286</v>
      </c>
      <c r="C7" s="6">
        <v>0</v>
      </c>
      <c r="D7" s="3" t="s">
        <v>771</v>
      </c>
      <c r="E7" s="6" t="s">
        <v>97</v>
      </c>
      <c r="F7" s="36"/>
      <c r="I7" s="32"/>
      <c r="J7" s="75"/>
    </row>
    <row r="8" spans="2:10" ht="30" customHeight="1">
      <c r="B8" s="5" t="s">
        <v>287</v>
      </c>
      <c r="C8" s="6" t="s">
        <v>288</v>
      </c>
      <c r="D8" s="3" t="s">
        <v>798</v>
      </c>
      <c r="E8" s="6" t="s">
        <v>97</v>
      </c>
      <c r="F8" s="34"/>
      <c r="I8" s="32"/>
      <c r="J8" s="75"/>
    </row>
    <row r="9" spans="2:10" ht="30" customHeight="1">
      <c r="B9" s="5" t="s">
        <v>289</v>
      </c>
      <c r="C9" s="6">
        <v>0</v>
      </c>
      <c r="D9" s="3" t="s">
        <v>772</v>
      </c>
      <c r="E9" s="6" t="s">
        <v>97</v>
      </c>
      <c r="F9" s="36"/>
      <c r="I9" s="32"/>
      <c r="J9" s="75"/>
    </row>
    <row r="10" spans="2:10" ht="30" customHeight="1">
      <c r="B10" s="5" t="s">
        <v>788</v>
      </c>
      <c r="C10" s="6" t="s">
        <v>789</v>
      </c>
      <c r="D10" s="3" t="s">
        <v>815</v>
      </c>
      <c r="E10" s="6" t="s">
        <v>97</v>
      </c>
      <c r="F10" s="9">
        <f>(0.5*0.5-0.159*0.159*3.14)*10/0.9</f>
        <v>1.8957517777777777</v>
      </c>
      <c r="I10" s="32"/>
      <c r="J10" s="75"/>
    </row>
    <row r="11" spans="2:10" ht="30" customHeight="1">
      <c r="B11" s="5" t="s">
        <v>791</v>
      </c>
      <c r="C11" s="6" t="s">
        <v>816</v>
      </c>
      <c r="D11" s="76" t="s">
        <v>817</v>
      </c>
      <c r="E11" s="6" t="s">
        <v>397</v>
      </c>
      <c r="F11" s="9">
        <f>10*1.01</f>
        <v>10.1</v>
      </c>
      <c r="I11" s="32"/>
      <c r="J11" s="75"/>
    </row>
    <row r="12" spans="2:10" ht="30" customHeight="1">
      <c r="B12" s="5" t="s">
        <v>794</v>
      </c>
      <c r="C12" s="6">
        <v>0</v>
      </c>
      <c r="D12" s="37" t="s">
        <v>818</v>
      </c>
      <c r="E12" s="6" t="s">
        <v>399</v>
      </c>
      <c r="F12" s="9">
        <f>(2.3+(2.3-1.4))/100*10</f>
        <v>0.32</v>
      </c>
      <c r="I12" s="32"/>
      <c r="J12" s="75"/>
    </row>
    <row r="13" spans="2:10" ht="30" customHeight="1">
      <c r="B13" s="5" t="s">
        <v>510</v>
      </c>
      <c r="C13" s="6">
        <v>0</v>
      </c>
      <c r="D13" s="3" t="s">
        <v>819</v>
      </c>
      <c r="E13" s="6" t="s">
        <v>97</v>
      </c>
      <c r="F13" s="77">
        <f>(0.5*0.5-0.159*0.159*3.14)*10</f>
        <v>1.7061766</v>
      </c>
      <c r="I13" s="32"/>
      <c r="J13" s="75"/>
    </row>
    <row r="14" spans="2:10" ht="30" customHeight="1">
      <c r="B14" s="5"/>
      <c r="C14" s="6"/>
      <c r="D14" s="76"/>
      <c r="E14" s="6"/>
      <c r="F14" s="77"/>
      <c r="I14" s="32"/>
      <c r="J14" s="75"/>
    </row>
    <row r="15" spans="2:10" ht="30" customHeight="1">
      <c r="B15" s="5"/>
      <c r="C15" s="6"/>
      <c r="D15" s="78"/>
      <c r="E15" s="6"/>
      <c r="F15" s="79"/>
      <c r="I15" s="32"/>
      <c r="J15" s="75"/>
    </row>
    <row r="16" spans="2:10" ht="30" customHeight="1">
      <c r="B16" s="5"/>
      <c r="C16" s="6"/>
      <c r="D16" s="4"/>
      <c r="E16" s="6"/>
      <c r="F16" s="79"/>
      <c r="I16" s="32"/>
      <c r="J16" s="75"/>
    </row>
    <row r="17" spans="2:10" ht="30" customHeight="1">
      <c r="B17" s="5"/>
      <c r="C17" s="6"/>
      <c r="D17" s="10"/>
      <c r="E17" s="6"/>
      <c r="F17" s="77"/>
      <c r="I17" s="32"/>
      <c r="J17" s="75"/>
    </row>
    <row r="18" spans="2:10" ht="30" customHeight="1">
      <c r="B18" s="5"/>
      <c r="C18" s="6"/>
      <c r="D18" s="10"/>
      <c r="E18" s="6"/>
      <c r="F18" s="77"/>
      <c r="I18" s="32"/>
      <c r="J18" s="75"/>
    </row>
    <row r="19" spans="2:10" ht="30" customHeight="1">
      <c r="B19" s="5"/>
      <c r="C19" s="6"/>
      <c r="D19" s="10"/>
      <c r="E19" s="6"/>
      <c r="F19" s="54"/>
      <c r="I19" s="32"/>
      <c r="J19" s="75"/>
    </row>
    <row r="20" spans="2:10" ht="30" customHeight="1">
      <c r="B20" s="5"/>
      <c r="C20" s="6"/>
      <c r="D20" s="10"/>
      <c r="E20" s="6"/>
      <c r="F20" s="54"/>
      <c r="I20" s="32"/>
      <c r="J20" s="75"/>
    </row>
    <row r="21" spans="2:10" ht="30" customHeight="1">
      <c r="B21" s="5"/>
      <c r="C21" s="6"/>
      <c r="D21" s="10"/>
      <c r="E21" s="6"/>
      <c r="F21" s="11"/>
      <c r="I21" s="32"/>
      <c r="J21" s="75"/>
    </row>
    <row r="22" spans="2:10" ht="39" customHeight="1">
      <c r="B22" s="5"/>
      <c r="C22" s="6"/>
      <c r="D22" s="37"/>
      <c r="E22" s="13"/>
      <c r="F22" s="38"/>
      <c r="I22" s="32"/>
      <c r="J22" s="75"/>
    </row>
    <row r="23" spans="2:10" ht="30" customHeight="1">
      <c r="B23" s="5"/>
      <c r="C23" s="6"/>
      <c r="D23" s="12"/>
      <c r="E23" s="13"/>
      <c r="F23" s="9"/>
      <c r="I23" s="32"/>
      <c r="J23" s="75"/>
    </row>
    <row r="24" spans="2:10" ht="30" customHeight="1">
      <c r="B24" s="5"/>
      <c r="C24" s="6"/>
      <c r="D24" s="10"/>
      <c r="E24" s="13"/>
      <c r="F24" s="55"/>
      <c r="I24" s="32"/>
      <c r="J24" s="75"/>
    </row>
    <row r="25" spans="2:10" ht="30" customHeight="1">
      <c r="B25" s="5"/>
      <c r="C25" s="6"/>
      <c r="D25" s="10"/>
      <c r="E25" s="13"/>
      <c r="F25" s="11"/>
      <c r="I25" s="32"/>
      <c r="J25" s="75"/>
    </row>
    <row r="26" spans="2:10" ht="30" customHeight="1">
      <c r="B26" s="5"/>
      <c r="C26" s="6"/>
      <c r="D26" s="37"/>
      <c r="E26" s="13"/>
      <c r="F26" s="36"/>
      <c r="I26" s="32"/>
      <c r="J26" s="75"/>
    </row>
    <row r="27" spans="2:10" ht="30" customHeight="1">
      <c r="B27" s="5"/>
      <c r="C27" s="6"/>
      <c r="D27" s="37"/>
      <c r="E27" s="6"/>
      <c r="F27" s="41"/>
      <c r="I27" s="32"/>
      <c r="J27" s="75"/>
    </row>
    <row r="28" spans="2:10" ht="30" customHeight="1">
      <c r="B28" s="5"/>
      <c r="C28" s="6"/>
      <c r="D28" s="12"/>
      <c r="E28" s="13"/>
      <c r="F28" s="9"/>
      <c r="I28" s="32"/>
      <c r="J28" s="75"/>
    </row>
    <row r="29" spans="2:10" ht="30" customHeight="1" thickBot="1">
      <c r="B29" s="43"/>
      <c r="C29" s="44"/>
      <c r="D29" s="45"/>
      <c r="E29" s="44"/>
      <c r="F29" s="46"/>
      <c r="I29" s="32"/>
      <c r="J29" s="75"/>
    </row>
    <row r="31" spans="9:10" ht="13.5">
      <c r="I31" s="2"/>
      <c r="J31" s="47"/>
    </row>
    <row r="32" spans="1:4" ht="13.5">
      <c r="A32" s="22"/>
      <c r="B32" s="22"/>
      <c r="C32" s="22"/>
      <c r="D32" s="22"/>
    </row>
    <row r="33" spans="1:4" ht="13.5">
      <c r="A33" s="22"/>
      <c r="B33" s="48"/>
      <c r="C33" s="48"/>
      <c r="D33" s="22"/>
    </row>
    <row r="34" spans="1:4" ht="13.5">
      <c r="A34" s="22"/>
      <c r="B34" s="48"/>
      <c r="C34" s="48"/>
      <c r="D34" s="22"/>
    </row>
    <row r="35" spans="1:4" ht="13.5">
      <c r="A35" s="22"/>
      <c r="B35" s="48"/>
      <c r="C35" s="48"/>
      <c r="D35" s="22"/>
    </row>
    <row r="36" spans="1:4" ht="13.5">
      <c r="A36" s="22"/>
      <c r="B36" s="48"/>
      <c r="C36" s="48"/>
      <c r="D36" s="22"/>
    </row>
    <row r="37" spans="1:4" ht="13.5">
      <c r="A37" s="22"/>
      <c r="B37" s="48"/>
      <c r="C37" s="48"/>
      <c r="D37" s="22"/>
    </row>
    <row r="38" spans="1:4" ht="13.5">
      <c r="A38" s="22"/>
      <c r="B38" s="48"/>
      <c r="C38" s="48"/>
      <c r="D38" s="22"/>
    </row>
    <row r="39" spans="1:4" ht="13.5">
      <c r="A39" s="22"/>
      <c r="B39" s="48"/>
      <c r="C39" s="48"/>
      <c r="D39" s="22"/>
    </row>
    <row r="40" spans="1:4" ht="13.5">
      <c r="A40" s="22"/>
      <c r="B40" s="48"/>
      <c r="C40" s="48"/>
      <c r="D40" s="22"/>
    </row>
    <row r="41" spans="1:4" ht="13.5">
      <c r="A41" s="22"/>
      <c r="B41" s="48"/>
      <c r="C41" s="49"/>
      <c r="D41" s="22"/>
    </row>
    <row r="42" spans="1:4" ht="13.5">
      <c r="A42" s="22"/>
      <c r="B42" s="50"/>
      <c r="C42" s="48"/>
      <c r="D42" s="22"/>
    </row>
    <row r="43" spans="1:4" ht="13.5">
      <c r="A43" s="22"/>
      <c r="B43" s="48"/>
      <c r="C43" s="49"/>
      <c r="D43" s="22"/>
    </row>
    <row r="44" spans="1:4" ht="13.5">
      <c r="A44" s="22"/>
      <c r="B44" s="22"/>
      <c r="C44" s="22"/>
      <c r="D44" s="22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